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hernyh_ma\Desktop\dyachkov\РАБОЧИЕ ДОКУМЕНТЫ ЗАМ ДИРЕКТОРА\_06_ДОГОВОРЫ\_05_Уборка\Уборка 2023\Помещения\Ведомости на конкурс\"/>
    </mc:Choice>
  </mc:AlternateContent>
  <bookViews>
    <workbookView xWindow="0" yWindow="0" windowWidth="24000" windowHeight="9600" tabRatio="906"/>
  </bookViews>
  <sheets>
    <sheet name="Приложение №1. ВОР произв." sheetId="10" r:id="rId1"/>
    <sheet name="Приложение №2. ВОР бытов." sheetId="3" r:id="rId2"/>
    <sheet name="Расчет численности" sheetId="7" state="hidden" r:id="rId3"/>
    <sheet name="Прил №3.Расчет стоимости работ " sheetId="6" state="hidden" r:id="rId4"/>
    <sheet name="Приложение№4. РДЦ" sheetId="11" state="hidden" r:id="rId5"/>
    <sheet name="Лист1" sheetId="12" state="hidden" r:id="rId6"/>
  </sheets>
  <definedNames>
    <definedName name="_xlnm._FilterDatabase" localSheetId="0" hidden="1">'Приложение №1. ВОР произв.'!$A$12:$V$146</definedName>
    <definedName name="_xlnm._FilterDatabase" localSheetId="1" hidden="1">'Приложение №2. ВОР бытов.'!$A$14:$AN$142</definedName>
    <definedName name="_xlnm.Print_Area" localSheetId="3">'Прил №3.Расчет стоимости работ '!$A$1:$D$36</definedName>
    <definedName name="_xlnm.Print_Area" localSheetId="0">'Приложение №1. ВОР произв.'!$A$1:$J$168</definedName>
    <definedName name="_xlnm.Print_Area" localSheetId="1">'Приложение №2. ВОР бытов.'!$A$1:$K$164</definedName>
    <definedName name="_xlnm.Print_Area" localSheetId="4">'Приложение№4. РДЦ'!$A$1:$G$27</definedName>
    <definedName name="_xlnm.Print_Area" localSheetId="2">'Расчет численности'!$A$1:$G$33</definedName>
  </definedNames>
  <calcPr calcId="162913"/>
</workbook>
</file>

<file path=xl/calcChain.xml><?xml version="1.0" encoding="utf-8"?>
<calcChain xmlns="http://schemas.openxmlformats.org/spreadsheetml/2006/main">
  <c r="H137" i="10" l="1"/>
  <c r="J137" i="10" s="1"/>
  <c r="I138" i="3" l="1"/>
  <c r="I136" i="3"/>
  <c r="I135" i="3"/>
  <c r="I134" i="3"/>
  <c r="I133" i="3"/>
  <c r="L138" i="3"/>
  <c r="L136" i="3"/>
  <c r="L135" i="3"/>
  <c r="L134" i="3"/>
  <c r="J103" i="3"/>
  <c r="J101" i="3"/>
  <c r="J100" i="3"/>
  <c r="I103" i="3"/>
  <c r="I102" i="3"/>
  <c r="I101" i="3"/>
  <c r="I100" i="3"/>
  <c r="L101" i="3"/>
  <c r="L100" i="3"/>
  <c r="L103" i="3"/>
  <c r="L102" i="3"/>
  <c r="H103" i="3"/>
  <c r="H102" i="3"/>
  <c r="J102" i="3" s="1"/>
  <c r="H101" i="3"/>
  <c r="H100" i="3"/>
  <c r="H99" i="3"/>
  <c r="J99" i="3" s="1"/>
  <c r="K99" i="3" s="1"/>
  <c r="H138" i="3" l="1"/>
  <c r="J138" i="3" s="1"/>
  <c r="H136" i="3"/>
  <c r="J136" i="3" s="1"/>
  <c r="H135" i="3"/>
  <c r="J135" i="3" s="1"/>
  <c r="H134" i="3"/>
  <c r="J134" i="3" s="1"/>
  <c r="H108" i="3" l="1"/>
  <c r="L108" i="3"/>
  <c r="I108" i="3" s="1"/>
  <c r="J108" i="3" l="1"/>
  <c r="H127" i="10"/>
  <c r="H21" i="10" l="1"/>
  <c r="H30" i="10"/>
  <c r="H28" i="10" l="1"/>
  <c r="C73" i="3" l="1"/>
  <c r="C59" i="3"/>
  <c r="K111" i="10"/>
  <c r="H111" i="10"/>
  <c r="J111" i="10" s="1"/>
  <c r="H44" i="10"/>
  <c r="L43" i="10"/>
  <c r="L44" i="10"/>
  <c r="K43" i="10"/>
  <c r="K44" i="10"/>
  <c r="J44" i="10" s="1"/>
  <c r="H43" i="10"/>
  <c r="J43" i="10" s="1"/>
  <c r="C130" i="3" l="1"/>
  <c r="C129" i="3"/>
  <c r="C119" i="3"/>
  <c r="H119" i="3" s="1"/>
  <c r="J119" i="3" s="1"/>
  <c r="C118" i="3"/>
  <c r="C120" i="3"/>
  <c r="C76" i="3"/>
  <c r="C75" i="3"/>
  <c r="C72" i="3"/>
  <c r="C71" i="3"/>
  <c r="C61" i="3"/>
  <c r="C60" i="3"/>
  <c r="C58" i="3"/>
  <c r="C57" i="3"/>
  <c r="H124" i="10" l="1"/>
  <c r="H48" i="3"/>
  <c r="H95" i="3" l="1"/>
  <c r="H94" i="3"/>
  <c r="H93" i="3"/>
  <c r="J93" i="3" s="1"/>
  <c r="K93" i="3" s="1"/>
  <c r="H92" i="3"/>
  <c r="L92" i="3"/>
  <c r="L93" i="3"/>
  <c r="L94" i="3"/>
  <c r="I94" i="3" s="1"/>
  <c r="L95" i="3"/>
  <c r="I95" i="3" s="1"/>
  <c r="H91" i="3"/>
  <c r="J91" i="3" s="1"/>
  <c r="K91" i="3" s="1"/>
  <c r="L91" i="3"/>
  <c r="L82" i="10"/>
  <c r="I82" i="10" s="1"/>
  <c r="K82" i="10"/>
  <c r="H82" i="10"/>
  <c r="H73" i="10"/>
  <c r="L73" i="10"/>
  <c r="I73" i="10" s="1"/>
  <c r="K73" i="10"/>
  <c r="J73" i="10" l="1"/>
  <c r="J94" i="3"/>
  <c r="K94" i="3" s="1"/>
  <c r="J95" i="3"/>
  <c r="K95" i="3" s="1"/>
  <c r="J82" i="10"/>
  <c r="J92" i="3"/>
  <c r="K92" i="3" s="1"/>
  <c r="K14" i="10" l="1"/>
  <c r="L17" i="3" l="1"/>
  <c r="I17" i="3" s="1"/>
  <c r="L18" i="3"/>
  <c r="I18" i="3" s="1"/>
  <c r="L19" i="3"/>
  <c r="L20" i="3"/>
  <c r="I20" i="3" s="1"/>
  <c r="L21" i="3"/>
  <c r="I21" i="3" s="1"/>
  <c r="L22" i="3"/>
  <c r="L23" i="3"/>
  <c r="I23" i="3" s="1"/>
  <c r="L24" i="3"/>
  <c r="L25" i="3"/>
  <c r="L26" i="3"/>
  <c r="I26" i="3" s="1"/>
  <c r="L27" i="3"/>
  <c r="L28" i="3"/>
  <c r="L29" i="3"/>
  <c r="I29" i="3" s="1"/>
  <c r="L30" i="3"/>
  <c r="I30" i="3" s="1"/>
  <c r="L31" i="3"/>
  <c r="I31" i="3" s="1"/>
  <c r="L32" i="3"/>
  <c r="I32" i="3" s="1"/>
  <c r="L33" i="3"/>
  <c r="I33" i="3" s="1"/>
  <c r="L34" i="3"/>
  <c r="I34" i="3" s="1"/>
  <c r="L35" i="3"/>
  <c r="I35" i="3" s="1"/>
  <c r="L36" i="3"/>
  <c r="I36" i="3" s="1"/>
  <c r="L37" i="3"/>
  <c r="I37" i="3" s="1"/>
  <c r="L38" i="3"/>
  <c r="I38" i="3" s="1"/>
  <c r="L39" i="3"/>
  <c r="L40" i="3"/>
  <c r="L41" i="3"/>
  <c r="L42" i="3"/>
  <c r="I42" i="3" s="1"/>
  <c r="L43" i="3"/>
  <c r="L44" i="3"/>
  <c r="L45" i="3"/>
  <c r="I45" i="3" s="1"/>
  <c r="L46" i="3"/>
  <c r="I46" i="3" s="1"/>
  <c r="L47" i="3"/>
  <c r="I47" i="3" s="1"/>
  <c r="L48" i="3"/>
  <c r="I48" i="3" s="1"/>
  <c r="J48" i="3" s="1"/>
  <c r="L49" i="3"/>
  <c r="I49" i="3" s="1"/>
  <c r="L50" i="3"/>
  <c r="I50" i="3" s="1"/>
  <c r="L51" i="3"/>
  <c r="L52" i="3"/>
  <c r="I52" i="3" s="1"/>
  <c r="L53" i="3"/>
  <c r="I53" i="3" s="1"/>
  <c r="L54" i="3"/>
  <c r="I54" i="3" s="1"/>
  <c r="L55" i="3"/>
  <c r="I55" i="3" s="1"/>
  <c r="L56" i="3"/>
  <c r="I56" i="3" s="1"/>
  <c r="L57" i="3"/>
  <c r="L58" i="3"/>
  <c r="L59" i="3"/>
  <c r="L60" i="3"/>
  <c r="L61" i="3"/>
  <c r="L62" i="3"/>
  <c r="L63" i="3"/>
  <c r="I63" i="3" s="1"/>
  <c r="L64" i="3"/>
  <c r="I64" i="3" s="1"/>
  <c r="L65" i="3"/>
  <c r="I65" i="3" s="1"/>
  <c r="L66" i="3"/>
  <c r="I66" i="3" s="1"/>
  <c r="L67" i="3"/>
  <c r="I67" i="3" s="1"/>
  <c r="L68" i="3"/>
  <c r="L69" i="3"/>
  <c r="I69" i="3" s="1"/>
  <c r="L70" i="3"/>
  <c r="I70" i="3" s="1"/>
  <c r="L71" i="3"/>
  <c r="L72" i="3"/>
  <c r="L73" i="3"/>
  <c r="L74" i="3"/>
  <c r="L75" i="3"/>
  <c r="L76" i="3"/>
  <c r="L77" i="3"/>
  <c r="I77" i="3" s="1"/>
  <c r="L78" i="3"/>
  <c r="L79" i="3"/>
  <c r="I79" i="3" s="1"/>
  <c r="L80" i="3"/>
  <c r="I80" i="3" s="1"/>
  <c r="L81" i="3"/>
  <c r="I81" i="3" s="1"/>
  <c r="L82" i="3"/>
  <c r="L83" i="3"/>
  <c r="L84" i="3"/>
  <c r="L85" i="3"/>
  <c r="I85" i="3" s="1"/>
  <c r="L86" i="3"/>
  <c r="I86" i="3" s="1"/>
  <c r="L87" i="3"/>
  <c r="L88" i="3"/>
  <c r="L89" i="3"/>
  <c r="L90" i="3"/>
  <c r="I90" i="3" s="1"/>
  <c r="L96" i="3"/>
  <c r="L97" i="3"/>
  <c r="I97" i="3" s="1"/>
  <c r="L98" i="3"/>
  <c r="L104" i="3"/>
  <c r="L105" i="3"/>
  <c r="I105" i="3" s="1"/>
  <c r="L106" i="3"/>
  <c r="L107" i="3"/>
  <c r="I107" i="3" s="1"/>
  <c r="L109" i="3"/>
  <c r="I109" i="3" s="1"/>
  <c r="L110" i="3"/>
  <c r="L111" i="3"/>
  <c r="L112" i="3"/>
  <c r="L113" i="3"/>
  <c r="L114" i="3"/>
  <c r="I114" i="3" s="1"/>
  <c r="L115" i="3"/>
  <c r="I115" i="3" s="1"/>
  <c r="L116" i="3"/>
  <c r="I116" i="3" s="1"/>
  <c r="L117" i="3"/>
  <c r="I117" i="3" s="1"/>
  <c r="L118" i="3"/>
  <c r="L120" i="3"/>
  <c r="L121" i="3"/>
  <c r="L122" i="3"/>
  <c r="I122" i="3" s="1"/>
  <c r="L123" i="3"/>
  <c r="I123" i="3" s="1"/>
  <c r="L124" i="3"/>
  <c r="I124" i="3" s="1"/>
  <c r="L125" i="3"/>
  <c r="I125" i="3" s="1"/>
  <c r="L126" i="3"/>
  <c r="L127" i="3"/>
  <c r="L128" i="3"/>
  <c r="L129" i="3"/>
  <c r="L130" i="3"/>
  <c r="L131" i="3"/>
  <c r="I131" i="3" s="1"/>
  <c r="L132" i="3"/>
  <c r="L133" i="3"/>
  <c r="L16" i="3"/>
  <c r="I16" i="3" s="1"/>
  <c r="M16" i="3"/>
  <c r="L30" i="10"/>
  <c r="L31" i="10"/>
  <c r="L32" i="10"/>
  <c r="L33" i="10"/>
  <c r="L34" i="10"/>
  <c r="L35" i="10"/>
  <c r="L36" i="10"/>
  <c r="L37" i="10"/>
  <c r="L38" i="10"/>
  <c r="L39" i="10"/>
  <c r="L40" i="10"/>
  <c r="L41" i="10"/>
  <c r="I41" i="10" s="1"/>
  <c r="L42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I63" i="10" s="1"/>
  <c r="L64" i="10"/>
  <c r="L65" i="10"/>
  <c r="I65" i="10" s="1"/>
  <c r="L66" i="10"/>
  <c r="L67" i="10"/>
  <c r="I67" i="10" s="1"/>
  <c r="L68" i="10"/>
  <c r="I68" i="10" s="1"/>
  <c r="L69" i="10"/>
  <c r="I69" i="10" s="1"/>
  <c r="L70" i="10"/>
  <c r="I70" i="10" s="1"/>
  <c r="L71" i="10"/>
  <c r="I71" i="10" s="1"/>
  <c r="L72" i="10"/>
  <c r="L74" i="10"/>
  <c r="L75" i="10"/>
  <c r="L76" i="10"/>
  <c r="L77" i="10"/>
  <c r="L78" i="10"/>
  <c r="L79" i="10"/>
  <c r="L80" i="10"/>
  <c r="L81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I97" i="10" s="1"/>
  <c r="L98" i="10"/>
  <c r="I98" i="10" s="1"/>
  <c r="L99" i="10"/>
  <c r="I99" i="10" s="1"/>
  <c r="L100" i="10"/>
  <c r="I100" i="10" s="1"/>
  <c r="L101" i="10"/>
  <c r="I101" i="10" s="1"/>
  <c r="L102" i="10"/>
  <c r="I102" i="10" s="1"/>
  <c r="L103" i="10"/>
  <c r="L104" i="10"/>
  <c r="L105" i="10"/>
  <c r="L106" i="10"/>
  <c r="L107" i="10"/>
  <c r="L108" i="10"/>
  <c r="L109" i="10"/>
  <c r="L110" i="10"/>
  <c r="L112" i="10"/>
  <c r="L113" i="10"/>
  <c r="L114" i="10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L128" i="10"/>
  <c r="L129" i="10"/>
  <c r="L130" i="10"/>
  <c r="L131" i="10"/>
  <c r="L132" i="10"/>
  <c r="L133" i="10"/>
  <c r="L134" i="10"/>
  <c r="L135" i="10"/>
  <c r="L136" i="10"/>
  <c r="L138" i="10"/>
  <c r="L139" i="10"/>
  <c r="L140" i="10"/>
  <c r="L141" i="10"/>
  <c r="L142" i="10"/>
  <c r="K17" i="10"/>
  <c r="K18" i="10"/>
  <c r="K19" i="10"/>
  <c r="K20" i="10"/>
  <c r="I20" i="10" s="1"/>
  <c r="K21" i="10"/>
  <c r="I21" i="10" s="1"/>
  <c r="K22" i="10"/>
  <c r="K23" i="10"/>
  <c r="K24" i="10"/>
  <c r="K25" i="10"/>
  <c r="K26" i="10"/>
  <c r="K27" i="10"/>
  <c r="K28" i="10"/>
  <c r="I28" i="10" s="1"/>
  <c r="K29" i="10"/>
  <c r="I29" i="10" s="1"/>
  <c r="K30" i="10"/>
  <c r="I30" i="10" s="1"/>
  <c r="K31" i="10"/>
  <c r="K32" i="10"/>
  <c r="I32" i="10" s="1"/>
  <c r="K33" i="10"/>
  <c r="K34" i="10"/>
  <c r="I34" i="10" s="1"/>
  <c r="K35" i="10"/>
  <c r="K36" i="10"/>
  <c r="I36" i="10" s="1"/>
  <c r="K37" i="10"/>
  <c r="I37" i="10" s="1"/>
  <c r="K38" i="10"/>
  <c r="I38" i="10" s="1"/>
  <c r="K39" i="10"/>
  <c r="K40" i="10"/>
  <c r="I40" i="10" s="1"/>
  <c r="K41" i="10"/>
  <c r="K42" i="10"/>
  <c r="I42" i="10" s="1"/>
  <c r="K45" i="10"/>
  <c r="K46" i="10"/>
  <c r="I46" i="10" s="1"/>
  <c r="K47" i="10"/>
  <c r="I47" i="10" s="1"/>
  <c r="K48" i="10"/>
  <c r="I48" i="10" s="1"/>
  <c r="K49" i="10"/>
  <c r="I49" i="10" s="1"/>
  <c r="K50" i="10"/>
  <c r="I50" i="10" s="1"/>
  <c r="K51" i="10"/>
  <c r="I51" i="10" s="1"/>
  <c r="K52" i="10"/>
  <c r="I52" i="10" s="1"/>
  <c r="K53" i="10"/>
  <c r="I53" i="10" s="1"/>
  <c r="K54" i="10"/>
  <c r="I54" i="10" s="1"/>
  <c r="K55" i="10"/>
  <c r="I55" i="10" s="1"/>
  <c r="K56" i="10"/>
  <c r="I56" i="10" s="1"/>
  <c r="K57" i="10"/>
  <c r="I57" i="10" s="1"/>
  <c r="K58" i="10"/>
  <c r="I58" i="10" s="1"/>
  <c r="K59" i="10"/>
  <c r="I59" i="10" s="1"/>
  <c r="K60" i="10"/>
  <c r="I60" i="10" s="1"/>
  <c r="K61" i="10"/>
  <c r="I61" i="10" s="1"/>
  <c r="K62" i="10"/>
  <c r="I62" i="10" s="1"/>
  <c r="K63" i="10"/>
  <c r="K64" i="10"/>
  <c r="I64" i="10" s="1"/>
  <c r="K65" i="10"/>
  <c r="K66" i="10"/>
  <c r="K67" i="10"/>
  <c r="K68" i="10"/>
  <c r="K69" i="10"/>
  <c r="K70" i="10"/>
  <c r="K71" i="10"/>
  <c r="K72" i="10"/>
  <c r="I72" i="10" s="1"/>
  <c r="K74" i="10"/>
  <c r="I74" i="10" s="1"/>
  <c r="K75" i="10"/>
  <c r="I75" i="10" s="1"/>
  <c r="K76" i="10"/>
  <c r="I76" i="10" s="1"/>
  <c r="K77" i="10"/>
  <c r="I77" i="10" s="1"/>
  <c r="K78" i="10"/>
  <c r="K79" i="10"/>
  <c r="I79" i="10" s="1"/>
  <c r="K80" i="10"/>
  <c r="K81" i="10"/>
  <c r="I81" i="10" s="1"/>
  <c r="K83" i="10"/>
  <c r="I83" i="10" s="1"/>
  <c r="K84" i="10"/>
  <c r="K85" i="10"/>
  <c r="I85" i="10" s="1"/>
  <c r="K86" i="10"/>
  <c r="I86" i="10" s="1"/>
  <c r="K87" i="10"/>
  <c r="I87" i="10" s="1"/>
  <c r="K88" i="10"/>
  <c r="I88" i="10" s="1"/>
  <c r="K89" i="10"/>
  <c r="I89" i="10" s="1"/>
  <c r="K90" i="10"/>
  <c r="I90" i="10" s="1"/>
  <c r="K91" i="10"/>
  <c r="I91" i="10" s="1"/>
  <c r="K92" i="10"/>
  <c r="I92" i="10" s="1"/>
  <c r="K93" i="10"/>
  <c r="I93" i="10" s="1"/>
  <c r="K94" i="10"/>
  <c r="I94" i="10" s="1"/>
  <c r="K95" i="10"/>
  <c r="I95" i="10" s="1"/>
  <c r="K96" i="10"/>
  <c r="I96" i="10" s="1"/>
  <c r="K97" i="10"/>
  <c r="K98" i="10"/>
  <c r="K99" i="10"/>
  <c r="K100" i="10"/>
  <c r="K101" i="10"/>
  <c r="K102" i="10"/>
  <c r="K103" i="10"/>
  <c r="I103" i="10" s="1"/>
  <c r="K104" i="10"/>
  <c r="K105" i="10"/>
  <c r="K106" i="10"/>
  <c r="I106" i="10" s="1"/>
  <c r="K107" i="10"/>
  <c r="I107" i="10" s="1"/>
  <c r="K108" i="10"/>
  <c r="I108" i="10" s="1"/>
  <c r="K109" i="10"/>
  <c r="I109" i="10" s="1"/>
  <c r="K110" i="10"/>
  <c r="K112" i="10"/>
  <c r="K113" i="10"/>
  <c r="I113" i="10" s="1"/>
  <c r="K114" i="10"/>
  <c r="I114" i="10" s="1"/>
  <c r="K115" i="10"/>
  <c r="K116" i="10"/>
  <c r="I116" i="10" s="1"/>
  <c r="K117" i="10"/>
  <c r="I117" i="10" s="1"/>
  <c r="K118" i="10"/>
  <c r="I118" i="10" s="1"/>
  <c r="K119" i="10"/>
  <c r="I119" i="10" s="1"/>
  <c r="K120" i="10"/>
  <c r="I120" i="10" s="1"/>
  <c r="K121" i="10"/>
  <c r="I121" i="10" s="1"/>
  <c r="K122" i="10"/>
  <c r="I122" i="10" s="1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8" i="10"/>
  <c r="K139" i="10"/>
  <c r="K140" i="10"/>
  <c r="K141" i="10"/>
  <c r="K142" i="10"/>
  <c r="I142" i="10" s="1"/>
  <c r="H133" i="3"/>
  <c r="H131" i="3"/>
  <c r="H130" i="3"/>
  <c r="H129" i="3"/>
  <c r="H128" i="3"/>
  <c r="H127" i="3"/>
  <c r="H126" i="3"/>
  <c r="H125" i="3"/>
  <c r="H124" i="3"/>
  <c r="H123" i="3"/>
  <c r="H122" i="3"/>
  <c r="H120" i="3"/>
  <c r="H118" i="3"/>
  <c r="H117" i="3"/>
  <c r="H116" i="3"/>
  <c r="H115" i="3"/>
  <c r="H114" i="3"/>
  <c r="H112" i="3"/>
  <c r="H111" i="3"/>
  <c r="H110" i="3"/>
  <c r="H109" i="3"/>
  <c r="H107" i="3"/>
  <c r="H106" i="3"/>
  <c r="H105" i="3"/>
  <c r="H98" i="3"/>
  <c r="H97" i="3"/>
  <c r="H96" i="3"/>
  <c r="H90" i="3"/>
  <c r="H89" i="3"/>
  <c r="H88" i="3"/>
  <c r="H87" i="3"/>
  <c r="H86" i="3"/>
  <c r="H85" i="3"/>
  <c r="H84" i="3"/>
  <c r="H83" i="3"/>
  <c r="H82" i="3"/>
  <c r="H81" i="3"/>
  <c r="H80" i="3"/>
  <c r="H79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7" i="3"/>
  <c r="H46" i="3"/>
  <c r="H45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7" i="3"/>
  <c r="H26" i="3"/>
  <c r="H25" i="3"/>
  <c r="H24" i="3"/>
  <c r="H23" i="3"/>
  <c r="H22" i="3"/>
  <c r="H21" i="3"/>
  <c r="H20" i="3"/>
  <c r="H19" i="3"/>
  <c r="J19" i="3" s="1"/>
  <c r="H18" i="3"/>
  <c r="H17" i="3"/>
  <c r="H16" i="3"/>
  <c r="H142" i="10"/>
  <c r="H141" i="10"/>
  <c r="H140" i="10"/>
  <c r="H139" i="10"/>
  <c r="H138" i="10"/>
  <c r="H136" i="10"/>
  <c r="H135" i="10"/>
  <c r="H134" i="10"/>
  <c r="H133" i="10"/>
  <c r="H132" i="10"/>
  <c r="H131" i="10"/>
  <c r="H130" i="10"/>
  <c r="H129" i="10"/>
  <c r="H128" i="10"/>
  <c r="H126" i="10"/>
  <c r="H125" i="10"/>
  <c r="H122" i="10"/>
  <c r="H121" i="10"/>
  <c r="H120" i="10"/>
  <c r="H119" i="10"/>
  <c r="H118" i="10"/>
  <c r="H117" i="10"/>
  <c r="H116" i="10"/>
  <c r="H115" i="10"/>
  <c r="H114" i="10"/>
  <c r="H113" i="10"/>
  <c r="H112" i="10"/>
  <c r="H110" i="10"/>
  <c r="H109" i="10"/>
  <c r="H108" i="10"/>
  <c r="H107" i="10"/>
  <c r="H106" i="10"/>
  <c r="H105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1" i="10"/>
  <c r="H80" i="10"/>
  <c r="H79" i="10"/>
  <c r="H78" i="10"/>
  <c r="H77" i="10"/>
  <c r="H76" i="10"/>
  <c r="H75" i="10"/>
  <c r="H74" i="10"/>
  <c r="H72" i="10"/>
  <c r="H71" i="10"/>
  <c r="H70" i="10"/>
  <c r="H69" i="10"/>
  <c r="H68" i="10"/>
  <c r="H67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2" i="10"/>
  <c r="H41" i="10"/>
  <c r="H40" i="10"/>
  <c r="H39" i="10"/>
  <c r="H38" i="10"/>
  <c r="H37" i="10"/>
  <c r="H36" i="10"/>
  <c r="H34" i="10"/>
  <c r="H32" i="10"/>
  <c r="H31" i="10"/>
  <c r="H29" i="10"/>
  <c r="H26" i="10"/>
  <c r="H25" i="10"/>
  <c r="H24" i="10"/>
  <c r="H23" i="10"/>
  <c r="H22" i="10"/>
  <c r="H20" i="10"/>
  <c r="H19" i="10"/>
  <c r="H18" i="10"/>
  <c r="H17" i="10"/>
  <c r="H16" i="10"/>
  <c r="H15" i="10"/>
  <c r="H14" i="10"/>
  <c r="L15" i="10" l="1"/>
  <c r="I15" i="10" s="1"/>
  <c r="J15" i="10" s="1"/>
  <c r="L16" i="10"/>
  <c r="I16" i="10" s="1"/>
  <c r="L17" i="10"/>
  <c r="I17" i="10" s="1"/>
  <c r="L18" i="10"/>
  <c r="I18" i="10" s="1"/>
  <c r="L19" i="10"/>
  <c r="I19" i="10" s="1"/>
  <c r="L20" i="10"/>
  <c r="L21" i="10"/>
  <c r="L22" i="10"/>
  <c r="I22" i="10" s="1"/>
  <c r="L23" i="10"/>
  <c r="I23" i="10" s="1"/>
  <c r="L24" i="10"/>
  <c r="I24" i="10" s="1"/>
  <c r="L25" i="10"/>
  <c r="I25" i="10" s="1"/>
  <c r="L26" i="10"/>
  <c r="I26" i="10" s="1"/>
  <c r="L27" i="10"/>
  <c r="L28" i="10"/>
  <c r="L29" i="10"/>
  <c r="L14" i="10"/>
  <c r="I14" i="10" s="1"/>
  <c r="J14" i="10" s="1"/>
  <c r="K15" i="10"/>
  <c r="K16" i="10"/>
  <c r="J130" i="3" l="1"/>
  <c r="J129" i="3"/>
  <c r="J74" i="3"/>
  <c r="J76" i="3"/>
  <c r="J75" i="3"/>
  <c r="J73" i="3"/>
  <c r="J72" i="3"/>
  <c r="J71" i="3"/>
  <c r="J58" i="3"/>
  <c r="J64" i="10"/>
  <c r="C143" i="10"/>
  <c r="J132" i="10"/>
  <c r="J113" i="10"/>
  <c r="J112" i="10"/>
  <c r="J122" i="10"/>
  <c r="J121" i="10"/>
  <c r="J25" i="3"/>
  <c r="K25" i="3" s="1"/>
  <c r="J24" i="3"/>
  <c r="K24" i="3" s="1"/>
  <c r="J17" i="3"/>
  <c r="J18" i="3"/>
  <c r="J139" i="10"/>
  <c r="J57" i="10"/>
  <c r="J56" i="10"/>
  <c r="J55" i="10"/>
  <c r="J117" i="3"/>
  <c r="J84" i="3"/>
  <c r="K84" i="3" s="1"/>
  <c r="J83" i="3"/>
  <c r="K83" i="3" s="1"/>
  <c r="J82" i="3"/>
  <c r="K82" i="3" s="1"/>
  <c r="J81" i="3"/>
  <c r="J80" i="3"/>
  <c r="J126" i="10"/>
  <c r="J119" i="10"/>
  <c r="J40" i="10"/>
  <c r="J123" i="3"/>
  <c r="C15" i="11"/>
  <c r="K19" i="3"/>
  <c r="J20" i="3"/>
  <c r="J21" i="3"/>
  <c r="J22" i="3"/>
  <c r="J23" i="3"/>
  <c r="J26" i="3"/>
  <c r="J27" i="3"/>
  <c r="K27" i="3" s="1"/>
  <c r="J29" i="3"/>
  <c r="J30" i="3"/>
  <c r="J31" i="3"/>
  <c r="J32" i="3"/>
  <c r="J33" i="3"/>
  <c r="J34" i="3"/>
  <c r="J35" i="3"/>
  <c r="J36" i="3"/>
  <c r="J37" i="3"/>
  <c r="J38" i="3"/>
  <c r="J39" i="3"/>
  <c r="K39" i="3" s="1"/>
  <c r="J40" i="3"/>
  <c r="J41" i="3"/>
  <c r="K41" i="3" s="1"/>
  <c r="J42" i="3"/>
  <c r="J43" i="3"/>
  <c r="J45" i="3"/>
  <c r="J46" i="3"/>
  <c r="J47" i="3"/>
  <c r="J49" i="3"/>
  <c r="J50" i="3"/>
  <c r="J51" i="3"/>
  <c r="K51" i="3" s="1"/>
  <c r="J52" i="3"/>
  <c r="J53" i="3"/>
  <c r="J54" i="3"/>
  <c r="J55" i="3"/>
  <c r="J56" i="3"/>
  <c r="J57" i="3"/>
  <c r="J59" i="3"/>
  <c r="J60" i="3"/>
  <c r="J61" i="3"/>
  <c r="J63" i="3"/>
  <c r="J64" i="3"/>
  <c r="J65" i="3"/>
  <c r="J66" i="3"/>
  <c r="J67" i="3"/>
  <c r="J68" i="3"/>
  <c r="K68" i="3" s="1"/>
  <c r="J69" i="3"/>
  <c r="J70" i="3"/>
  <c r="J77" i="3"/>
  <c r="J79" i="3"/>
  <c r="J85" i="3"/>
  <c r="J86" i="3"/>
  <c r="J87" i="3"/>
  <c r="K87" i="3" s="1"/>
  <c r="J88" i="3"/>
  <c r="K88" i="3" s="1"/>
  <c r="J89" i="3"/>
  <c r="K89" i="3" s="1"/>
  <c r="J90" i="3"/>
  <c r="J96" i="3"/>
  <c r="K96" i="3" s="1"/>
  <c r="J97" i="3"/>
  <c r="J98" i="3"/>
  <c r="K98" i="3" s="1"/>
  <c r="J105" i="3"/>
  <c r="J106" i="3"/>
  <c r="K106" i="3" s="1"/>
  <c r="J107" i="3"/>
  <c r="J109" i="3"/>
  <c r="J110" i="3"/>
  <c r="K110" i="3" s="1"/>
  <c r="J111" i="3"/>
  <c r="K111" i="3" s="1"/>
  <c r="J112" i="3"/>
  <c r="K112" i="3" s="1"/>
  <c r="J114" i="3"/>
  <c r="J115" i="3"/>
  <c r="J116" i="3"/>
  <c r="J118" i="3"/>
  <c r="J120" i="3"/>
  <c r="J122" i="3"/>
  <c r="J124" i="3"/>
  <c r="J125" i="3"/>
  <c r="J126" i="3"/>
  <c r="J127" i="3"/>
  <c r="J128" i="3"/>
  <c r="K128" i="3" s="1"/>
  <c r="J131" i="3"/>
  <c r="J133" i="3"/>
  <c r="J16" i="3"/>
  <c r="J51" i="10"/>
  <c r="J50" i="10"/>
  <c r="J39" i="10"/>
  <c r="J34" i="10"/>
  <c r="J36" i="10"/>
  <c r="J37" i="10"/>
  <c r="J38" i="10"/>
  <c r="J41" i="10"/>
  <c r="J42" i="10"/>
  <c r="J45" i="10"/>
  <c r="J46" i="10"/>
  <c r="J47" i="10"/>
  <c r="J48" i="10"/>
  <c r="J49" i="10"/>
  <c r="J52" i="10"/>
  <c r="J53" i="10"/>
  <c r="J54" i="10"/>
  <c r="J58" i="10"/>
  <c r="J59" i="10"/>
  <c r="J60" i="10"/>
  <c r="J61" i="10"/>
  <c r="J62" i="10"/>
  <c r="J63" i="10"/>
  <c r="J65" i="10"/>
  <c r="J67" i="10"/>
  <c r="J68" i="10"/>
  <c r="J69" i="10"/>
  <c r="J70" i="10"/>
  <c r="J71" i="10"/>
  <c r="J72" i="10"/>
  <c r="J74" i="10"/>
  <c r="J75" i="10"/>
  <c r="J76" i="10"/>
  <c r="J77" i="10"/>
  <c r="J78" i="10"/>
  <c r="J79" i="10"/>
  <c r="J80" i="10"/>
  <c r="J81" i="10"/>
  <c r="J83" i="10"/>
  <c r="J84" i="10"/>
  <c r="J85" i="10"/>
  <c r="J86" i="10"/>
  <c r="J87" i="10"/>
  <c r="J88" i="10"/>
  <c r="J89" i="10"/>
  <c r="J90" i="10"/>
  <c r="J91" i="10"/>
  <c r="J92" i="10"/>
  <c r="J93" i="10"/>
  <c r="J94" i="10"/>
  <c r="J95" i="10"/>
  <c r="J96" i="10"/>
  <c r="J97" i="10"/>
  <c r="J98" i="10"/>
  <c r="J99" i="10"/>
  <c r="J100" i="10"/>
  <c r="J101" i="10"/>
  <c r="J102" i="10"/>
  <c r="J103" i="10"/>
  <c r="J105" i="10"/>
  <c r="J106" i="10"/>
  <c r="J107" i="10"/>
  <c r="J108" i="10"/>
  <c r="J109" i="10"/>
  <c r="J110" i="10"/>
  <c r="J114" i="10"/>
  <c r="J115" i="10"/>
  <c r="J116" i="10"/>
  <c r="J117" i="10"/>
  <c r="J118" i="10"/>
  <c r="J120" i="10"/>
  <c r="J124" i="10"/>
  <c r="J125" i="10"/>
  <c r="J127" i="10"/>
  <c r="J128" i="10"/>
  <c r="J129" i="10"/>
  <c r="J130" i="10"/>
  <c r="J131" i="10"/>
  <c r="J133" i="10"/>
  <c r="J134" i="10"/>
  <c r="J135" i="10"/>
  <c r="J136" i="10"/>
  <c r="J138" i="10"/>
  <c r="J140" i="10"/>
  <c r="J141" i="10"/>
  <c r="J142" i="10"/>
  <c r="J23" i="10"/>
  <c r="J24" i="10"/>
  <c r="J25" i="10"/>
  <c r="J26" i="10"/>
  <c r="J28" i="10"/>
  <c r="J29" i="10"/>
  <c r="J30" i="10"/>
  <c r="J31" i="10"/>
  <c r="J32" i="10"/>
  <c r="J16" i="10"/>
  <c r="J17" i="10"/>
  <c r="J18" i="10"/>
  <c r="J19" i="10"/>
  <c r="J20" i="10"/>
  <c r="J21" i="10"/>
  <c r="J22" i="10"/>
  <c r="C139" i="3"/>
  <c r="J143" i="10" l="1"/>
  <c r="I145" i="10" s="1"/>
  <c r="K139" i="3"/>
  <c r="J139" i="3"/>
  <c r="J144" i="10" l="1"/>
  <c r="J145" i="10"/>
  <c r="I144" i="10"/>
  <c r="I146" i="10" s="1"/>
  <c r="I140" i="3"/>
  <c r="J141" i="3"/>
  <c r="J140" i="3"/>
  <c r="K141" i="3"/>
  <c r="I141" i="3"/>
  <c r="K140" i="3"/>
  <c r="J146" i="10" l="1"/>
  <c r="J142" i="3"/>
  <c r="K142" i="3"/>
  <c r="I142" i="3"/>
  <c r="B16" i="7" l="1"/>
  <c r="C16" i="7" s="1"/>
  <c r="F16" i="7" s="1"/>
  <c r="G16" i="7" s="1"/>
  <c r="B14" i="7"/>
  <c r="C14" i="7" s="1"/>
  <c r="M142" i="3"/>
  <c r="C18" i="7" l="1"/>
  <c r="F14" i="7"/>
  <c r="F18" i="7" s="1"/>
  <c r="B18" i="7"/>
  <c r="G14" i="7" l="1"/>
  <c r="G20" i="7" s="1"/>
  <c r="G22" i="7" s="1"/>
  <c r="D14" i="6" s="1"/>
  <c r="D15" i="6" s="1"/>
  <c r="D16" i="6" s="1"/>
  <c r="D17" i="6" s="1"/>
  <c r="D18" i="6" s="1"/>
  <c r="D19" i="6" s="1"/>
  <c r="D20" i="6" l="1"/>
  <c r="D21" i="6" s="1"/>
  <c r="D23" i="6"/>
  <c r="E15" i="11" l="1"/>
  <c r="E17" i="11" s="1"/>
  <c r="E16" i="11" l="1"/>
  <c r="D22" i="6" l="1"/>
  <c r="D24" i="6" s="1"/>
  <c r="I26" i="6" s="1"/>
  <c r="I27" i="6" l="1"/>
  <c r="H24" i="6"/>
  <c r="D25" i="6"/>
  <c r="D26" i="6" s="1"/>
  <c r="D27" i="6" s="1"/>
  <c r="D15" i="11" l="1"/>
  <c r="D17" i="11" s="1"/>
  <c r="I28" i="6"/>
  <c r="D16" i="11" l="1"/>
  <c r="F15" i="11"/>
  <c r="F17" i="11" s="1"/>
  <c r="G15" i="11" l="1"/>
  <c r="G17" i="11" s="1"/>
  <c r="F16" i="11"/>
  <c r="G16" i="11" l="1"/>
</calcChain>
</file>

<file path=xl/sharedStrings.xml><?xml version="1.0" encoding="utf-8"?>
<sst xmlns="http://schemas.openxmlformats.org/spreadsheetml/2006/main" count="1357" uniqueCount="407">
  <si>
    <t>№ п/п</t>
  </si>
  <si>
    <t>Способ</t>
  </si>
  <si>
    <t>Здание хоздвора</t>
  </si>
  <si>
    <t>мытье</t>
  </si>
  <si>
    <t>линолеум</t>
  </si>
  <si>
    <t>бетон</t>
  </si>
  <si>
    <t>Мойка а/м</t>
  </si>
  <si>
    <t>Венткамера</t>
  </si>
  <si>
    <t>Кабинет АТЦ</t>
  </si>
  <si>
    <t>Коридор с вестибюлем</t>
  </si>
  <si>
    <t>Корридор 2эт.</t>
  </si>
  <si>
    <t>ламинат</t>
  </si>
  <si>
    <t>ламинант</t>
  </si>
  <si>
    <t>Спорт.комната</t>
  </si>
  <si>
    <t>Спецчасть</t>
  </si>
  <si>
    <t>Спортзал,</t>
  </si>
  <si>
    <t>Кабинет програм.</t>
  </si>
  <si>
    <t>Помещение ГЩУ отм441</t>
  </si>
  <si>
    <t>Туалет ГЩУ</t>
  </si>
  <si>
    <t>Коридор перед грузов. лифтом отм.441</t>
  </si>
  <si>
    <t>Туалеты отм. 441</t>
  </si>
  <si>
    <t>Слесарная мастерская</t>
  </si>
  <si>
    <t>Архив 4этаж</t>
  </si>
  <si>
    <t>Коридор отм.431</t>
  </si>
  <si>
    <t>Мастерская отм.431</t>
  </si>
  <si>
    <t>Маслохозяйство отм.425</t>
  </si>
  <si>
    <t>Секции 1,2,3,4 здания ГЭС</t>
  </si>
  <si>
    <t>Бетон</t>
  </si>
  <si>
    <t>Помещение за панелями в маш.зале отм441</t>
  </si>
  <si>
    <t>Маш.зал отм.441</t>
  </si>
  <si>
    <t>Шкафы, двери, панели</t>
  </si>
  <si>
    <t>метал</t>
  </si>
  <si>
    <t>Помещения за панелями на отметке 437</t>
  </si>
  <si>
    <t xml:space="preserve">Кабина грузового лифта </t>
  </si>
  <si>
    <t>подметание</t>
  </si>
  <si>
    <t>Трубный коридор</t>
  </si>
  <si>
    <t>Насосная потерна</t>
  </si>
  <si>
    <t>Дренажная потерна</t>
  </si>
  <si>
    <t>Помещения гидроподёмников</t>
  </si>
  <si>
    <t>Помещения байпасов</t>
  </si>
  <si>
    <t>дер. краш.</t>
  </si>
  <si>
    <t>РЩ – 2</t>
  </si>
  <si>
    <t xml:space="preserve">Кабельные полуэтажи </t>
  </si>
  <si>
    <t>Маслохозяйство ПБ отм.431</t>
  </si>
  <si>
    <t>Помещения раздевалки ПБ</t>
  </si>
  <si>
    <t>Корридор между МЗ и Л11</t>
  </si>
  <si>
    <t>Помещение РЩ-1</t>
  </si>
  <si>
    <t>Подземный переход</t>
  </si>
  <si>
    <t>Дюраль, стекло</t>
  </si>
  <si>
    <t>Лестницы здания ГЭС</t>
  </si>
  <si>
    <t>Лестница №10</t>
  </si>
  <si>
    <t>Помещение ВОХР</t>
  </si>
  <si>
    <t>Коридор</t>
  </si>
  <si>
    <t>Помещение склада профкома</t>
  </si>
  <si>
    <t>дерево, стекло</t>
  </si>
  <si>
    <t>санфоянс</t>
  </si>
  <si>
    <t>Туалеты, умывальник (санфоян )</t>
  </si>
  <si>
    <t>бетонная плитка</t>
  </si>
  <si>
    <t>бетон крашенный</t>
  </si>
  <si>
    <t xml:space="preserve">бетон </t>
  </si>
  <si>
    <t>бетон краш.</t>
  </si>
  <si>
    <t>Рифлёнка</t>
  </si>
  <si>
    <t>протирка</t>
  </si>
  <si>
    <t>эмалевые поверхности турбин, маслопроводов,  МНУ, панелей, эл. шкафов</t>
  </si>
  <si>
    <t>Помещение ВВЛ на ЛБ</t>
  </si>
  <si>
    <t>Помещение АБ-1 и ВВЛ на ПБ</t>
  </si>
  <si>
    <t>Стояночный бокс грузов.автомобилей - 1 эт.</t>
  </si>
  <si>
    <t>Стояночный бокс легков.автомобилей - 2 эт.</t>
  </si>
  <si>
    <t>Помещение  (расш. бака)</t>
  </si>
  <si>
    <t>Слесарная мастерская  УЭЗС</t>
  </si>
  <si>
    <t>Маш.зал отм.441(шкафы,двери и панели)</t>
  </si>
  <si>
    <t>Двери (коридор)</t>
  </si>
  <si>
    <t>Панели (коридор)</t>
  </si>
  <si>
    <t>Панели, двери (коридор между МЗ и Л11)</t>
  </si>
  <si>
    <t>пластик</t>
  </si>
  <si>
    <t>Окно помещения ВВЛ на ПБ</t>
  </si>
  <si>
    <t>Кабинет директора</t>
  </si>
  <si>
    <t>Кабинет секретаря</t>
  </si>
  <si>
    <t>Туалеты 6эт</t>
  </si>
  <si>
    <t>Коридоры 6эт.</t>
  </si>
  <si>
    <t>Кабинет Гл. инженера</t>
  </si>
  <si>
    <t>Кабинет Нач. ОЭЦ</t>
  </si>
  <si>
    <t>Обслуживание рабочего места -6,5% к оперативному времени,</t>
  </si>
  <si>
    <t>отдых и личные надобности - 5% к оперативному времени</t>
  </si>
  <si>
    <t>№ п.п.</t>
  </si>
  <si>
    <t>Численность</t>
  </si>
  <si>
    <t>Разряд</t>
  </si>
  <si>
    <t>Тарифная ставка в руб.</t>
  </si>
  <si>
    <t>Фонд оплаты труда в руб.</t>
  </si>
  <si>
    <t>Всего зарплата по тарифу в месяц</t>
  </si>
  <si>
    <t>Статья затрат</t>
  </si>
  <si>
    <t>%</t>
  </si>
  <si>
    <t>Сумма затрат в руб.</t>
  </si>
  <si>
    <t>Тарифная часть</t>
  </si>
  <si>
    <t>Премия</t>
  </si>
  <si>
    <t>Итого</t>
  </si>
  <si>
    <t>Районное регулирование и северая надбавка</t>
  </si>
  <si>
    <t xml:space="preserve">ФОТ всего </t>
  </si>
  <si>
    <t>Накладные расходы от ФОТ без учета материалов</t>
  </si>
  <si>
    <t>Итого с накладными расходами</t>
  </si>
  <si>
    <t>Прибыль от себестоимости без учета материалов</t>
  </si>
  <si>
    <t>Материалы от ФОТ</t>
  </si>
  <si>
    <t xml:space="preserve">Утверждаю: </t>
  </si>
  <si>
    <t>Норма времени в  мин</t>
  </si>
  <si>
    <t>Численность с учетом Коэффициента невыходов (1,12)</t>
  </si>
  <si>
    <t>Периодичность уборки, количество раз в месяц</t>
  </si>
  <si>
    <t>Площадь за месяц,     м2</t>
  </si>
  <si>
    <t>Норма времени</t>
  </si>
  <si>
    <t>в  минутах за ед.изм-я</t>
  </si>
  <si>
    <t>Наименование смет</t>
  </si>
  <si>
    <t>Сметная стоимость  (руб)</t>
  </si>
  <si>
    <t>в том числе материалы, сумма (руб)</t>
  </si>
  <si>
    <t>НДС (руб)</t>
  </si>
  <si>
    <t>Всего с НДС (руб)</t>
  </si>
  <si>
    <t xml:space="preserve">Всего </t>
  </si>
  <si>
    <t>Страховые взносы</t>
  </si>
  <si>
    <t>Объемы работ по уборке в 2016 году полностью соответствуют физическим объемам 2015 года</t>
  </si>
  <si>
    <t xml:space="preserve">Начальник ПЭО </t>
  </si>
  <si>
    <t xml:space="preserve">Уборка производственных и служебно-бытовых помещений  Иркутской ГЭС </t>
  </si>
  <si>
    <t xml:space="preserve">Назначение помещения и объектов уборки </t>
  </si>
  <si>
    <t>Вид работы и способ уборки</t>
  </si>
  <si>
    <t>Вид покрытия</t>
  </si>
  <si>
    <t>Площадь, м2</t>
  </si>
  <si>
    <t>Согласовано:</t>
  </si>
  <si>
    <t>Двери, стены умывальников и душевой туалета</t>
  </si>
  <si>
    <t>дерево, ламинат</t>
  </si>
  <si>
    <t>деревян.</t>
  </si>
  <si>
    <t>Лестницы подземного перехода</t>
  </si>
  <si>
    <t>Кабинеты подземного перехода</t>
  </si>
  <si>
    <t>глазур.плитка</t>
  </si>
  <si>
    <t>пластик, металл</t>
  </si>
  <si>
    <t>мозаичная плитка</t>
  </si>
  <si>
    <t>Туалет отм.431</t>
  </si>
  <si>
    <t>Сауна отм.431</t>
  </si>
  <si>
    <t xml:space="preserve">ламинат </t>
  </si>
  <si>
    <t>бетоная плитка</t>
  </si>
  <si>
    <t>Подземный переход (включая раздевалки ВОХР)</t>
  </si>
  <si>
    <t xml:space="preserve">ИТОГО </t>
  </si>
  <si>
    <t>Здание главного входа ГЭС (6 этаж)</t>
  </si>
  <si>
    <t>Здание главного входа ГЭС (5 этаж)</t>
  </si>
  <si>
    <t>Левобережный устой здания ГЭС</t>
  </si>
  <si>
    <t>Правобережный устой здания ГЭС</t>
  </si>
  <si>
    <t>Сооружение №1</t>
  </si>
  <si>
    <t>Санузел ВОХР</t>
  </si>
  <si>
    <t xml:space="preserve">Здание хоздвора (2 этаж) </t>
  </si>
  <si>
    <t>Маслохозяйство ЛБ отм.431</t>
  </si>
  <si>
    <t>Компрессорная отм.431</t>
  </si>
  <si>
    <t>Помещения ГО отм.431</t>
  </si>
  <si>
    <t>Лестница №4  в насосную потерну отм. 420-412</t>
  </si>
  <si>
    <t>Лестница №7 в отм.431-425 в маслохозяйство</t>
  </si>
  <si>
    <t>Лестница №8 в отм.431-413 в дренажную потерну</t>
  </si>
  <si>
    <t>Лестницы №13 (2шт.) по аг №3,6 отм.451-430</t>
  </si>
  <si>
    <t>Лестницы №12 (6шт.) по аг №1, 2, 4, 5, 7, 8 отм. 445-430</t>
  </si>
  <si>
    <t>Лестница №6 в цементационную потерну</t>
  </si>
  <si>
    <t>Бокс №11 (Склад ОЭЦ)</t>
  </si>
  <si>
    <t>Лестница и лестничные площадки</t>
  </si>
  <si>
    <t>Помещение СДТУ отм.464</t>
  </si>
  <si>
    <t>Техн.помещение здания гл.входа отм.469</t>
  </si>
  <si>
    <t>Помещение сейсмостанции отм.456</t>
  </si>
  <si>
    <t>Помещение выхода на кран МЗ отм.456</t>
  </si>
  <si>
    <t>Подщитовые помещения  отм.459</t>
  </si>
  <si>
    <t>Помещ. отм 451 (1, 2, 3, 4 секц.)</t>
  </si>
  <si>
    <t>Пом.перепадомеров отм.445</t>
  </si>
  <si>
    <t>Маш.зал отм.441(эмалевые поверхности турбин, маслопроводов)</t>
  </si>
  <si>
    <t>Пожарные ящики (подгенераторного помещения отм.437)</t>
  </si>
  <si>
    <t>Цементационная потерна</t>
  </si>
  <si>
    <t>Помещения  МНА гидроподёмников</t>
  </si>
  <si>
    <t xml:space="preserve">Окна с откосами 9 шт. (помещения СТ, РЩ) </t>
  </si>
  <si>
    <t>Лестница №2 отм. 457-413</t>
  </si>
  <si>
    <t>Двери, панели (лестница №3)</t>
  </si>
  <si>
    <t>Лестница №11 отм.459-431 в правобережном устое</t>
  </si>
  <si>
    <t>РУ-0,4 кВ и РУ-6 кВ</t>
  </si>
  <si>
    <t>бетонная плитка.</t>
  </si>
  <si>
    <t>дерев. пол</t>
  </si>
  <si>
    <t>в том числе 2 разряд за месяц в минутах</t>
  </si>
  <si>
    <t>за месяц  в  минутах</t>
  </si>
  <si>
    <t>Комната отдыха водителей грузовых автомобилей</t>
  </si>
  <si>
    <r>
      <rPr>
        <b/>
        <sz val="11"/>
        <color indexed="8"/>
        <rFont val="Times New Roman"/>
        <family val="1"/>
        <charset val="204"/>
      </rPr>
      <t xml:space="preserve"> Итого</t>
    </r>
  </si>
  <si>
    <t>ИТОГО:</t>
  </si>
  <si>
    <t>за месяц  в  минуту</t>
  </si>
  <si>
    <t xml:space="preserve"> Итого:</t>
  </si>
  <si>
    <t>Инженер ОППР</t>
  </si>
  <si>
    <t xml:space="preserve">(наименование объекта) </t>
  </si>
  <si>
    <t>Иркутская ГЭС</t>
  </si>
  <si>
    <t>Приложение №1 к Расчету стоимости услуг по уборке производственных и служебно-бытовых помещений Иркутской ГЭС № 1</t>
  </si>
  <si>
    <t>Актовый зал</t>
  </si>
  <si>
    <t>Площадка перед актовым залом</t>
  </si>
  <si>
    <t>М.А. Черных</t>
  </si>
  <si>
    <t>_____________________</t>
  </si>
  <si>
    <t>_______________</t>
  </si>
  <si>
    <t>____________________</t>
  </si>
  <si>
    <t>М.В. Кремзукова</t>
  </si>
  <si>
    <t>плитка</t>
  </si>
  <si>
    <t>ДВП краш., плитка</t>
  </si>
  <si>
    <t>стекло, металл</t>
  </si>
  <si>
    <t>в месяц</t>
  </si>
  <si>
    <t>Кабине ПЭО</t>
  </si>
  <si>
    <t>Кабинет ПТО бол.</t>
  </si>
  <si>
    <t>Кабинет ПТО мал.</t>
  </si>
  <si>
    <t>Кабинет ОППР</t>
  </si>
  <si>
    <t>Кабинет ОСП</t>
  </si>
  <si>
    <t>ГО и ЧС</t>
  </si>
  <si>
    <t>Помещение УЭЭО (все кабинеты на этаже)</t>
  </si>
  <si>
    <t>Медпункт 2 каб.</t>
  </si>
  <si>
    <t>Помещение СРЗиА</t>
  </si>
  <si>
    <t>Кабина пассажирского лифта ЛБ</t>
  </si>
  <si>
    <t>Кабина пассажирского лифта ПБ 2шт</t>
  </si>
  <si>
    <t>Электробойлерная</t>
  </si>
  <si>
    <t>Химлаборатория</t>
  </si>
  <si>
    <t>Лестница №3 отм. 431-420</t>
  </si>
  <si>
    <t>Лестница №3 отм. 445-431</t>
  </si>
  <si>
    <t>Лестница №3 отм. 456-445</t>
  </si>
  <si>
    <t>Начальник ОСП</t>
  </si>
  <si>
    <t>Кабинет ОТ</t>
  </si>
  <si>
    <t>Класс ОТ</t>
  </si>
  <si>
    <t>Умывалн. ОТ</t>
  </si>
  <si>
    <t>Туалеты отм. 456 2шт</t>
  </si>
  <si>
    <t>Душевая отм. 456 5шт (+стены)</t>
  </si>
  <si>
    <t>Архив ПЭО</t>
  </si>
  <si>
    <t xml:space="preserve">Директор филиала ООО "ЕвроСибЭнрего-Гидрогенерация"  Иркутская ГЭС </t>
  </si>
  <si>
    <t xml:space="preserve">Помещения 4 эт. отм.457 (СДТУ,СРЗиА, ОКС. ПТО) </t>
  </si>
  <si>
    <t>Отм.456  площадка перед помещением выхода на кран</t>
  </si>
  <si>
    <t>Помещение 3СТ</t>
  </si>
  <si>
    <t>Кабинет гр. АСУ + тамбур</t>
  </si>
  <si>
    <t>Гидроагрегат №1 отм.437-430 (НК, КХВ, ТВС, гл.выв)</t>
  </si>
  <si>
    <t>Гидроагрегат №2 отм.437-430 (НК, КХВ, ТВС, гл.выв)</t>
  </si>
  <si>
    <t>Гидроагрегат №3 отм.437-430 (НК, КХВ, ТВС, гл.выв)</t>
  </si>
  <si>
    <t>Гидроагрегат №4 отм.437-430 (НК, КХВ, ТВС, гл.выв)</t>
  </si>
  <si>
    <t>Гидроагрегат №5 отм.437-430 (НК, КХВ, ТВС, гл.выв)</t>
  </si>
  <si>
    <t>Гидроагрегат №6 отм.437-430 (НК, КХВ, ТВС, гл.выв)</t>
  </si>
  <si>
    <t>Гидроагрегат №7 отм.437-430 (НК, КХВ, ТВС, гл.выв)</t>
  </si>
  <si>
    <t>Гидроагрегат №8 отм.437-430 (НК, КХВ, ТВС, гл.выв)</t>
  </si>
  <si>
    <t>ЗРУ, КРУ 1-2 секц., тамбуры</t>
  </si>
  <si>
    <t>Отдельно стоящее здание РЩ-110</t>
  </si>
  <si>
    <t>Помещение АБ-2 ЛБ</t>
  </si>
  <si>
    <t>Вентиляционная (АБ-2) ЛБ</t>
  </si>
  <si>
    <t>Лестница №11 отм.431-412 в правобережном устое</t>
  </si>
  <si>
    <t>Комната отдыха водителей легковых автомобилей</t>
  </si>
  <si>
    <t>Кабинет №14 (ВРС)</t>
  </si>
  <si>
    <t>Кабинет инженера ПО (№15)</t>
  </si>
  <si>
    <t>Помещение для умывания,  душевые</t>
  </si>
  <si>
    <t>пластик, стекло</t>
  </si>
  <si>
    <t>Кладовые убощиков (душевая, туалет)</t>
  </si>
  <si>
    <t>Туалет, умывальник (грузовой бокс)</t>
  </si>
  <si>
    <t>Туалет, умывальник Ж 1 этаж</t>
  </si>
  <si>
    <t>Таулет, умывальник  М 1 этаж</t>
  </si>
  <si>
    <t>Кабинет СБ (№35)</t>
  </si>
  <si>
    <t xml:space="preserve">Кабинет руководителя группы наблюдений  (№36) </t>
  </si>
  <si>
    <t>Кабинет начальника УЭЗС (№37)</t>
  </si>
  <si>
    <t>Кабинет группы наблюдений УЭЗС (№38)</t>
  </si>
  <si>
    <t>Кабинет СБ (№22)</t>
  </si>
  <si>
    <t>Кабинет СБ (№20)</t>
  </si>
  <si>
    <t>Раздевалка УЭЗС (№27)</t>
  </si>
  <si>
    <t>Бильярдная (№33)</t>
  </si>
  <si>
    <t xml:space="preserve">Ремонтный бокс (смотровая яма) </t>
  </si>
  <si>
    <t>Ремонтный бокс (помещение №9 и №10)</t>
  </si>
  <si>
    <t>Склад АТЦ</t>
  </si>
  <si>
    <t>Мастерская АТЦ</t>
  </si>
  <si>
    <t>Венткамера (легковой бокс)</t>
  </si>
  <si>
    <t>Помещение УЭЭО 1 этаж  (№31)</t>
  </si>
  <si>
    <t>Коридор по МЗ отм.441</t>
  </si>
  <si>
    <t>Гостевая</t>
  </si>
  <si>
    <t>Кабинет начальника УЭМО</t>
  </si>
  <si>
    <t>Фойе 5 этажа</t>
  </si>
  <si>
    <t>Коридоры 5эт.</t>
  </si>
  <si>
    <t>Туалеты 5эт.</t>
  </si>
  <si>
    <t>Умывалн. СРЗиА</t>
  </si>
  <si>
    <t>Туалет УЭЭО, умывальник</t>
  </si>
  <si>
    <t>Туалет, мойка отм 441 ( на 11 лестнице)</t>
  </si>
  <si>
    <t>Душевая раздевалки ПБ</t>
  </si>
  <si>
    <t>Туалеты раздевалки ПБ</t>
  </si>
  <si>
    <t>Постовые помещения</t>
  </si>
  <si>
    <t>КПП №2 (3 пост) НБ</t>
  </si>
  <si>
    <t>паркет</t>
  </si>
  <si>
    <t>Полуэтаж (2 этаж)</t>
  </si>
  <si>
    <t>Кабельные коридоры 3 шт</t>
  </si>
  <si>
    <t>Лестн. №5 здание гл.входа - перегрузочное  помещение гидроподъёмников отм 469-431</t>
  </si>
  <si>
    <t>Лестн. №5 здание гл.входа - перегрузочное  помещение гидроподъёмников отм. 431-412</t>
  </si>
  <si>
    <t>Е.А. Кочкин</t>
  </si>
  <si>
    <t>Мехмастерская отм.441 (КПА)</t>
  </si>
  <si>
    <t>Инструментальная с балконом отм.449</t>
  </si>
  <si>
    <t>Коридор перед инструментальной отм.449</t>
  </si>
  <si>
    <t>Окна</t>
  </si>
  <si>
    <t>стекло, пластик, металл</t>
  </si>
  <si>
    <t>Окна 5 этал (стекл двери) фойе</t>
  </si>
  <si>
    <t>Кабинеты ОКСа</t>
  </si>
  <si>
    <t>"______" ____________ 2021 г.</t>
  </si>
  <si>
    <t>"______ " __________________2021г.</t>
  </si>
  <si>
    <t>Итого с учетом коэффициента конкурсного снижение</t>
  </si>
  <si>
    <t xml:space="preserve">Итого стоимость услуг без НДС </t>
  </si>
  <si>
    <t>Итого стоимость услуг</t>
  </si>
  <si>
    <t>Ж.А.Сергеева</t>
  </si>
  <si>
    <t>Приложение № к договору № ________  от "__" _______ 2021г.</t>
  </si>
  <si>
    <t>Приложение №2 к договору №___________ от "___" ________  2021г.</t>
  </si>
  <si>
    <t>Приложение №1 к договору №________  от "__" ________ 2021г.</t>
  </si>
  <si>
    <t>Приложение №4 к договору № ________  от "__" _______  2021г.</t>
  </si>
  <si>
    <t>Расчет договорной стоимости услуг</t>
  </si>
  <si>
    <t>расчет</t>
  </si>
  <si>
    <t>Кэф. Заставл.</t>
  </si>
  <si>
    <t>деревянные</t>
  </si>
  <si>
    <t>Помещения вент. камер отм.459: 1 секция</t>
  </si>
  <si>
    <t xml:space="preserve">                                                        2 секция</t>
  </si>
  <si>
    <t xml:space="preserve">                                                        3 секция</t>
  </si>
  <si>
    <t xml:space="preserve">                                                        4 секция </t>
  </si>
  <si>
    <t>Стоимость услуг в месяц без НДС</t>
  </si>
  <si>
    <t>Туалет,мойка 4 этаж  (ГЭС-Ремонт)</t>
  </si>
  <si>
    <t>Душевая 4 этаж (ГЭС-Ремонт)</t>
  </si>
  <si>
    <t>Умывальн. 4 этаж (ГЭС-Ремонт)</t>
  </si>
  <si>
    <t>Прачка 4 этаж (ГЭС-Ремонт)</t>
  </si>
  <si>
    <t>Помещ.раздевалки 4 этаж (ГЭС-Ремонт) лев.стор</t>
  </si>
  <si>
    <t>Помещ.раздевалки 4 этаж (Подрядчик) прав.стор</t>
  </si>
  <si>
    <t>Туалет,мойка, душевая 4 этаж (Подрядчик)</t>
  </si>
  <si>
    <t>Карта №</t>
  </si>
  <si>
    <t>1.3.1.</t>
  </si>
  <si>
    <t>1.1.3.</t>
  </si>
  <si>
    <t>1.2.1.</t>
  </si>
  <si>
    <t>1.3.3.</t>
  </si>
  <si>
    <t>1.1.1.</t>
  </si>
  <si>
    <t>5.1.1.</t>
  </si>
  <si>
    <t>3.4.3.2.2</t>
  </si>
  <si>
    <t>Нормы утв. 24.06.96 №38</t>
  </si>
  <si>
    <t>1.1.2.</t>
  </si>
  <si>
    <t>1.3.2.</t>
  </si>
  <si>
    <t>1.1.4.</t>
  </si>
  <si>
    <t>2.2.1.</t>
  </si>
  <si>
    <t>2.8.1.</t>
  </si>
  <si>
    <t>3.4.3.2.1</t>
  </si>
  <si>
    <t>Методика приказ от 20.03.20 №108</t>
  </si>
  <si>
    <t>справочник</t>
  </si>
  <si>
    <t>2.3.1.</t>
  </si>
  <si>
    <t>3.4.3.1.1</t>
  </si>
  <si>
    <t>раб дней с 25.04.21-24.04.22 =254дн.</t>
  </si>
  <si>
    <t>раб дней с 25.04.22-30.04.22 =5дн.</t>
  </si>
  <si>
    <t>259*12/254=12,24</t>
  </si>
  <si>
    <t>Маш.зал отм.441 (рифленка)</t>
  </si>
  <si>
    <t>Панели, двери, стены (лестница №5)</t>
  </si>
  <si>
    <t>Окна 6 этаж (бол)</t>
  </si>
  <si>
    <t>Подокон 6 этаж (бол)</t>
  </si>
  <si>
    <t>Окна 6 этаж (мал)</t>
  </si>
  <si>
    <t>Подокон 6 этаж (мал.)</t>
  </si>
  <si>
    <t>Окна 5 этаж (бол)</t>
  </si>
  <si>
    <t>Подокон 5 этаж (бол)</t>
  </si>
  <si>
    <t>Стекл двери на лестнице 6 этаж</t>
  </si>
  <si>
    <t>Стекл двери на лестнице и входные 5 этаж</t>
  </si>
  <si>
    <t>Окна 5 этаж (мал.)</t>
  </si>
  <si>
    <t>Подокон 5 этаж (мал.)</t>
  </si>
  <si>
    <t>Двери входные с улицы (внутри,снаруж)</t>
  </si>
  <si>
    <t>Подокон</t>
  </si>
  <si>
    <t>Окна здания ВОХР</t>
  </si>
  <si>
    <t>Подокон здания ВОХР</t>
  </si>
  <si>
    <t>Помещ. для умывал.+ душевые</t>
  </si>
  <si>
    <t>3.16.1.</t>
  </si>
  <si>
    <t>Каб. полуэтаж 3 СТ. Новые быт. для подрядчиков</t>
  </si>
  <si>
    <t>Окна кабинет СРЗиА</t>
  </si>
  <si>
    <t>Окна помещения ГЩУ отм.441</t>
  </si>
  <si>
    <t>Подокон помещения ГЩУ</t>
  </si>
  <si>
    <t>Двери помещения ГЩУ отм.441</t>
  </si>
  <si>
    <t>Окна (маслохозяйство ПБ отм.431)</t>
  </si>
  <si>
    <t>Двери  (маслохозяйство ПБ отм.431)</t>
  </si>
  <si>
    <t>план</t>
  </si>
  <si>
    <t>Отм.431 по ж/д до грузового лифта</t>
  </si>
  <si>
    <t>Помещ. отм 456 (1, 2, 3, 4 секц.)</t>
  </si>
  <si>
    <t xml:space="preserve">Подгенераторное помещение отм.437 </t>
  </si>
  <si>
    <t>Подгенераторное помещение отм.437</t>
  </si>
  <si>
    <t>Помещения нулевых выводов (8шт.) отм 437</t>
  </si>
  <si>
    <t>полный месяц</t>
  </si>
  <si>
    <t>Кабинет начальника ГЭС-Ремонта</t>
  </si>
  <si>
    <t>Бытовка на отм.437 (за 8Г)</t>
  </si>
  <si>
    <t>Бытовка на отм.437 (за 4Г)</t>
  </si>
  <si>
    <t>ООО "ЕвроСибЭнерго-Гидрогенерация"</t>
  </si>
  <si>
    <t>О.В. Григорьева</t>
  </si>
  <si>
    <t>Ведомость объемов работ №1, периодичности и нормы времени на уборку производственных  помещений Иркутской ГЭС  в  период с 01.05.2023г. по 30.04.2026г.</t>
  </si>
  <si>
    <t xml:space="preserve"> _________________В.А. Чеверда </t>
  </si>
  <si>
    <t>"______" ____________ 2022 г.</t>
  </si>
  <si>
    <t xml:space="preserve"> _________________В.А. Чеверда</t>
  </si>
  <si>
    <t>"______ " __________________2022г.</t>
  </si>
  <si>
    <t>Расчет численности и зар.платы на уборку производственных и служебно-бытовых помещений Иркутской ГЭС в период с 01.05.2023г. по 30.04.2026г.</t>
  </si>
  <si>
    <t>Всего зарплата по тарифу за период с 01.05.2023 по 30.04.2026</t>
  </si>
  <si>
    <t>Расчет стоимости услуг по уборке производственных и служебно-бытовых помещений Иркутской ГЭС  в  период с 01.05.2023г. по 30.04.2026г.</t>
  </si>
  <si>
    <t>Ведомость объемов  работ №1, периодичности и нормы времени на уборку служебно-бытовых  помещений Иркутской ГЭС в  период с 01.05.2023г. по 30.04.2026г.</t>
  </si>
  <si>
    <t>Пост №9 Отводящий канал. ЛБ</t>
  </si>
  <si>
    <t>Пост №4  Отводящий канал. ПБ</t>
  </si>
  <si>
    <t>Пост №5  У здания ВОХР</t>
  </si>
  <si>
    <t>Здание производственных служб. Столярная мастерская</t>
  </si>
  <si>
    <t>Столярная мастерская</t>
  </si>
  <si>
    <t>комната мастеров УЭМО</t>
  </si>
  <si>
    <t>слесарная мастерская отм. 437</t>
  </si>
  <si>
    <t>помещение крановщиков отм. 437</t>
  </si>
  <si>
    <t>такелажная мастерская</t>
  </si>
  <si>
    <t>Начальник УТОиР ЗС</t>
  </si>
  <si>
    <t>Начальник УЭМО</t>
  </si>
  <si>
    <t>Начальник УЭЭО</t>
  </si>
  <si>
    <t>Начальник СЗРиА и СДТУ</t>
  </si>
  <si>
    <t>Э.Г. Синёв</t>
  </si>
  <si>
    <t>О.Н. Косьяненко</t>
  </si>
  <si>
    <t>И.С Гаськов</t>
  </si>
  <si>
    <t>Руководитель ГН ГТС</t>
  </si>
  <si>
    <t>С.С. Березин</t>
  </si>
  <si>
    <t>Старший НСЭ</t>
  </si>
  <si>
    <t>Д.В. Ситнев</t>
  </si>
  <si>
    <t>Начальник ПЭО</t>
  </si>
  <si>
    <t>Зам. главного инженера - Начальник ОЭЦ</t>
  </si>
  <si>
    <t>В.П. Гаримыко</t>
  </si>
  <si>
    <t>Кабинет СРЗиА (бывшая раздевалка ОС</t>
  </si>
  <si>
    <t>Кабинет инженера по БС</t>
  </si>
  <si>
    <t>ОК</t>
  </si>
  <si>
    <t>Медпункт (бывший СБ)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</si>
</sst>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0.00;[Red]0.00"/>
    <numFmt numFmtId="165" formatCode="_-* #,##0.00\ _р_._-;\-* #,##0.00\ _р_._-;_-* &quot;-&quot;??\ _р_._-;_-@_-"/>
    <numFmt numFmtId="166" formatCode="0.000000000000000"/>
    <numFmt numFmtId="167" formatCode="0.0%"/>
    <numFmt numFmtId="168" formatCode="0.0000000000000"/>
    <numFmt numFmtId="169" formatCode="_-* #,##0.00\ _₽_-;\-* #,##0.00\ _₽_-;_-* &quot;-&quot;??\ _₽_-;_-@_-"/>
  </numFmts>
  <fonts count="27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8"/>
      <name val="Arial"/>
      <family val="2"/>
      <charset val="204"/>
    </font>
    <font>
      <sz val="11"/>
      <color rgb="FF0070C0"/>
      <name val="Times New Roman"/>
      <family val="1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8" fillId="0" borderId="0"/>
    <xf numFmtId="0" fontId="8" fillId="0" borderId="0"/>
    <xf numFmtId="165" fontId="13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/>
    <xf numFmtId="0" fontId="3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1" fillId="0" borderId="2" xfId="0" applyFont="1" applyBorder="1" applyAlignment="1">
      <alignment horizontal="center"/>
    </xf>
    <xf numFmtId="0" fontId="1" fillId="3" borderId="0" xfId="0" applyFont="1" applyFill="1"/>
    <xf numFmtId="0" fontId="1" fillId="3" borderId="1" xfId="0" applyFont="1" applyFill="1" applyBorder="1"/>
    <xf numFmtId="0" fontId="5" fillId="3" borderId="0" xfId="0" applyFont="1" applyFill="1"/>
    <xf numFmtId="0" fontId="1" fillId="3" borderId="5" xfId="0" applyFont="1" applyFill="1" applyBorder="1"/>
    <xf numFmtId="0" fontId="2" fillId="3" borderId="1" xfId="0" applyFont="1" applyFill="1" applyBorder="1"/>
    <xf numFmtId="0" fontId="19" fillId="0" borderId="0" xfId="1" applyFont="1" applyFill="1" applyAlignment="1">
      <alignment horizontal="left" vertical="center"/>
    </xf>
    <xf numFmtId="0" fontId="19" fillId="0" borderId="0" xfId="1" applyFont="1" applyFill="1" applyAlignment="1">
      <alignment vertic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0" fillId="0" borderId="0" xfId="0" applyFont="1"/>
    <xf numFmtId="4" fontId="10" fillId="0" borderId="0" xfId="0" applyNumberFormat="1" applyFont="1"/>
    <xf numFmtId="0" fontId="1" fillId="3" borderId="0" xfId="2" applyFont="1" applyFill="1"/>
    <xf numFmtId="0" fontId="11" fillId="0" borderId="9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3" fontId="11" fillId="0" borderId="1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9" xfId="0" applyFont="1" applyBorder="1"/>
    <xf numFmtId="0" fontId="10" fillId="0" borderId="1" xfId="0" applyFont="1" applyBorder="1"/>
    <xf numFmtId="4" fontId="10" fillId="0" borderId="10" xfId="0" applyNumberFormat="1" applyFont="1" applyBorder="1"/>
    <xf numFmtId="2" fontId="10" fillId="0" borderId="1" xfId="0" applyNumberFormat="1" applyFont="1" applyBorder="1"/>
    <xf numFmtId="0" fontId="10" fillId="0" borderId="11" xfId="0" applyFont="1" applyBorder="1"/>
    <xf numFmtId="0" fontId="10" fillId="0" borderId="12" xfId="0" applyFont="1" applyBorder="1"/>
    <xf numFmtId="4" fontId="10" fillId="0" borderId="13" xfId="0" applyNumberFormat="1" applyFont="1" applyBorder="1"/>
    <xf numFmtId="0" fontId="10" fillId="0" borderId="14" xfId="0" applyFont="1" applyBorder="1"/>
    <xf numFmtId="2" fontId="10" fillId="0" borderId="15" xfId="0" applyNumberFormat="1" applyFont="1" applyBorder="1"/>
    <xf numFmtId="0" fontId="10" fillId="0" borderId="15" xfId="0" applyFont="1" applyBorder="1"/>
    <xf numFmtId="4" fontId="10" fillId="0" borderId="16" xfId="0" applyNumberFormat="1" applyFont="1" applyBorder="1"/>
    <xf numFmtId="0" fontId="10" fillId="0" borderId="17" xfId="0" applyFont="1" applyBorder="1"/>
    <xf numFmtId="0" fontId="10" fillId="0" borderId="3" xfId="0" applyFont="1" applyBorder="1"/>
    <xf numFmtId="4" fontId="10" fillId="0" borderId="18" xfId="0" applyNumberFormat="1" applyFont="1" applyBorder="1"/>
    <xf numFmtId="2" fontId="12" fillId="0" borderId="15" xfId="0" applyNumberFormat="1" applyFont="1" applyBorder="1"/>
    <xf numFmtId="0" fontId="5" fillId="0" borderId="0" xfId="0" applyFont="1" applyBorder="1" applyAlignment="1">
      <alignment horizontal="left" vertical="center"/>
    </xf>
    <xf numFmtId="0" fontId="3" fillId="3" borderId="0" xfId="0" applyFont="1" applyFill="1" applyAlignment="1">
      <alignment horizontal="left"/>
    </xf>
    <xf numFmtId="0" fontId="9" fillId="0" borderId="0" xfId="0" applyFont="1" applyAlignment="1">
      <alignment horizontal="center" wrapText="1"/>
    </xf>
    <xf numFmtId="2" fontId="2" fillId="3" borderId="19" xfId="0" applyNumberFormat="1" applyFont="1" applyFill="1" applyBorder="1"/>
    <xf numFmtId="0" fontId="5" fillId="0" borderId="0" xfId="0" applyFont="1"/>
    <xf numFmtId="0" fontId="20" fillId="0" borderId="0" xfId="0" applyFont="1" applyAlignment="1">
      <alignment horizontal="center"/>
    </xf>
    <xf numFmtId="0" fontId="6" fillId="0" borderId="0" xfId="0" applyFont="1" applyAlignment="1">
      <alignment horizontal="right" vertical="justify"/>
    </xf>
    <xf numFmtId="0" fontId="5" fillId="0" borderId="0" xfId="0" applyFont="1" applyAlignment="1">
      <alignment horizontal="left" vertical="center"/>
    </xf>
    <xf numFmtId="0" fontId="7" fillId="0" borderId="0" xfId="0" applyFont="1"/>
    <xf numFmtId="0" fontId="5" fillId="0" borderId="0" xfId="0" applyFont="1" applyFill="1"/>
    <xf numFmtId="0" fontId="1" fillId="0" borderId="0" xfId="0" applyFont="1" applyAlignment="1">
      <alignment vertical="top"/>
    </xf>
    <xf numFmtId="4" fontId="10" fillId="0" borderId="1" xfId="0" applyNumberFormat="1" applyFont="1" applyBorder="1"/>
    <xf numFmtId="4" fontId="10" fillId="0" borderId="12" xfId="0" applyNumberFormat="1" applyFont="1" applyBorder="1"/>
    <xf numFmtId="4" fontId="10" fillId="0" borderId="15" xfId="0" applyNumberFormat="1" applyFont="1" applyBorder="1"/>
    <xf numFmtId="0" fontId="1" fillId="0" borderId="20" xfId="0" applyFont="1" applyBorder="1"/>
    <xf numFmtId="0" fontId="2" fillId="3" borderId="20" xfId="0" applyFont="1" applyFill="1" applyBorder="1"/>
    <xf numFmtId="0" fontId="1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0" fontId="19" fillId="0" borderId="0" xfId="1" applyFont="1" applyFill="1" applyAlignment="1">
      <alignment horizontal="left" vertical="top"/>
    </xf>
    <xf numFmtId="3" fontId="4" fillId="0" borderId="0" xfId="3" applyNumberFormat="1" applyFont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/>
    <xf numFmtId="3" fontId="3" fillId="0" borderId="0" xfId="0" applyNumberFormat="1" applyFont="1" applyFill="1" applyBorder="1"/>
    <xf numFmtId="4" fontId="3" fillId="0" borderId="0" xfId="0" applyNumberFormat="1" applyFont="1" applyFill="1" applyBorder="1"/>
    <xf numFmtId="0" fontId="1" fillId="0" borderId="21" xfId="0" applyFont="1" applyBorder="1"/>
    <xf numFmtId="0" fontId="19" fillId="0" borderId="22" xfId="1" applyFont="1" applyFill="1" applyBorder="1" applyAlignment="1">
      <alignment horizontal="left" vertical="center"/>
    </xf>
    <xf numFmtId="0" fontId="19" fillId="0" borderId="22" xfId="1" applyFont="1" applyFill="1" applyBorder="1" applyAlignment="1">
      <alignment vertical="center"/>
    </xf>
    <xf numFmtId="0" fontId="1" fillId="0" borderId="22" xfId="0" applyFont="1" applyBorder="1"/>
    <xf numFmtId="0" fontId="1" fillId="0" borderId="22" xfId="0" applyFont="1" applyFill="1" applyBorder="1"/>
    <xf numFmtId="0" fontId="1" fillId="0" borderId="23" xfId="0" applyFont="1" applyBorder="1"/>
    <xf numFmtId="0" fontId="19" fillId="0" borderId="24" xfId="1" applyFont="1" applyFill="1" applyBorder="1" applyAlignment="1">
      <alignment horizontal="left" vertical="center"/>
    </xf>
    <xf numFmtId="0" fontId="19" fillId="0" borderId="24" xfId="0" applyFont="1" applyBorder="1" applyAlignment="1">
      <alignment horizontal="center" vertical="center"/>
    </xf>
    <xf numFmtId="0" fontId="1" fillId="3" borderId="24" xfId="0" applyFont="1" applyFill="1" applyBorder="1"/>
    <xf numFmtId="0" fontId="1" fillId="0" borderId="25" xfId="0" applyFont="1" applyBorder="1"/>
    <xf numFmtId="0" fontId="19" fillId="0" borderId="5" xfId="1" applyFont="1" applyFill="1" applyBorder="1" applyAlignment="1">
      <alignment horizontal="left" vertical="center"/>
    </xf>
    <xf numFmtId="0" fontId="19" fillId="0" borderId="5" xfId="1" applyFont="1" applyFill="1" applyBorder="1" applyAlignment="1">
      <alignment vertical="center"/>
    </xf>
    <xf numFmtId="0" fontId="1" fillId="0" borderId="5" xfId="0" applyFont="1" applyBorder="1"/>
    <xf numFmtId="0" fontId="1" fillId="0" borderId="5" xfId="0" applyFont="1" applyFill="1" applyBorder="1"/>
    <xf numFmtId="2" fontId="2" fillId="0" borderId="26" xfId="0" applyNumberFormat="1" applyFont="1" applyBorder="1"/>
    <xf numFmtId="2" fontId="2" fillId="0" borderId="27" xfId="0" applyNumberFormat="1" applyFont="1" applyBorder="1"/>
    <xf numFmtId="2" fontId="2" fillId="3" borderId="28" xfId="0" applyNumberFormat="1" applyFont="1" applyFill="1" applyBorder="1"/>
    <xf numFmtId="164" fontId="2" fillId="0" borderId="1" xfId="0" applyNumberFormat="1" applyFont="1" applyFill="1" applyBorder="1"/>
    <xf numFmtId="2" fontId="2" fillId="0" borderId="29" xfId="0" applyNumberFormat="1" applyFont="1" applyFill="1" applyBorder="1"/>
    <xf numFmtId="2" fontId="21" fillId="3" borderId="30" xfId="0" applyNumberFormat="1" applyFont="1" applyFill="1" applyBorder="1"/>
    <xf numFmtId="164" fontId="21" fillId="0" borderId="20" xfId="0" applyNumberFormat="1" applyFont="1" applyBorder="1"/>
    <xf numFmtId="2" fontId="21" fillId="0" borderId="31" xfId="0" applyNumberFormat="1" applyFont="1" applyBorder="1"/>
    <xf numFmtId="0" fontId="1" fillId="0" borderId="19" xfId="0" applyFont="1" applyBorder="1" applyAlignment="1">
      <alignment horizontal="center" vertical="top"/>
    </xf>
    <xf numFmtId="0" fontId="4" fillId="0" borderId="5" xfId="0" applyFont="1" applyBorder="1"/>
    <xf numFmtId="0" fontId="19" fillId="0" borderId="24" xfId="1" applyFont="1" applyFill="1" applyBorder="1" applyAlignment="1">
      <alignment horizontal="left" vertical="top"/>
    </xf>
    <xf numFmtId="2" fontId="21" fillId="3" borderId="24" xfId="0" applyNumberFormat="1" applyFont="1" applyFill="1" applyBorder="1"/>
    <xf numFmtId="0" fontId="19" fillId="0" borderId="5" xfId="1" applyFont="1" applyFill="1" applyBorder="1" applyAlignment="1">
      <alignment horizontal="left" vertical="top"/>
    </xf>
    <xf numFmtId="164" fontId="21" fillId="0" borderId="5" xfId="0" applyNumberFormat="1" applyFont="1" applyBorder="1"/>
    <xf numFmtId="0" fontId="1" fillId="0" borderId="32" xfId="0" applyFont="1" applyBorder="1"/>
    <xf numFmtId="0" fontId="9" fillId="0" borderId="33" xfId="1" applyFont="1" applyFill="1" applyBorder="1" applyAlignment="1">
      <alignment horizontal="left" vertical="top"/>
    </xf>
    <xf numFmtId="0" fontId="19" fillId="0" borderId="33" xfId="1" applyFont="1" applyFill="1" applyBorder="1" applyAlignment="1">
      <alignment horizontal="left" vertical="center"/>
    </xf>
    <xf numFmtId="0" fontId="19" fillId="0" borderId="33" xfId="1" applyFont="1" applyFill="1" applyBorder="1" applyAlignment="1">
      <alignment vertical="center"/>
    </xf>
    <xf numFmtId="0" fontId="1" fillId="0" borderId="33" xfId="0" applyFont="1" applyBorder="1"/>
    <xf numFmtId="0" fontId="1" fillId="0" borderId="33" xfId="0" applyFont="1" applyFill="1" applyBorder="1"/>
    <xf numFmtId="2" fontId="21" fillId="0" borderId="33" xfId="0" applyNumberFormat="1" applyFont="1" applyBorder="1"/>
    <xf numFmtId="2" fontId="2" fillId="3" borderId="34" xfId="0" applyNumberFormat="1" applyFont="1" applyFill="1" applyBorder="1"/>
    <xf numFmtId="164" fontId="2" fillId="0" borderId="10" xfId="0" applyNumberFormat="1" applyFont="1" applyFill="1" applyBorder="1"/>
    <xf numFmtId="2" fontId="2" fillId="0" borderId="8" xfId="0" applyNumberFormat="1" applyFont="1" applyFill="1" applyBorder="1"/>
    <xf numFmtId="0" fontId="1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4" fillId="0" borderId="0" xfId="0" applyFont="1"/>
    <xf numFmtId="0" fontId="10" fillId="0" borderId="1" xfId="0" applyFont="1" applyBorder="1" applyAlignment="1">
      <alignment vertical="center"/>
    </xf>
    <xf numFmtId="4" fontId="9" fillId="0" borderId="16" xfId="0" applyNumberFormat="1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Alignment="1"/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9" fontId="10" fillId="0" borderId="1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9" fontId="10" fillId="0" borderId="1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7" fillId="0" borderId="0" xfId="0" applyFont="1"/>
    <xf numFmtId="0" fontId="15" fillId="4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/>
    </xf>
    <xf numFmtId="0" fontId="5" fillId="0" borderId="15" xfId="0" applyFont="1" applyFill="1" applyBorder="1"/>
    <xf numFmtId="3" fontId="5" fillId="0" borderId="15" xfId="0" applyNumberFormat="1" applyFont="1" applyFill="1" applyBorder="1"/>
    <xf numFmtId="4" fontId="5" fillId="0" borderId="15" xfId="0" applyNumberFormat="1" applyFont="1" applyFill="1" applyBorder="1"/>
    <xf numFmtId="4" fontId="5" fillId="0" borderId="16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 applyAlignment="1"/>
    <xf numFmtId="0" fontId="1" fillId="5" borderId="5" xfId="0" applyFont="1" applyFill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vertical="top"/>
    </xf>
    <xf numFmtId="0" fontId="6" fillId="5" borderId="1" xfId="0" applyFont="1" applyFill="1" applyBorder="1"/>
    <xf numFmtId="0" fontId="1" fillId="0" borderId="0" xfId="0" applyFont="1" applyFill="1" applyAlignment="1">
      <alignment vertical="top"/>
    </xf>
    <xf numFmtId="0" fontId="10" fillId="0" borderId="14" xfId="0" applyFont="1" applyFill="1" applyBorder="1"/>
    <xf numFmtId="0" fontId="10" fillId="0" borderId="15" xfId="0" applyFont="1" applyFill="1" applyBorder="1"/>
    <xf numFmtId="4" fontId="10" fillId="0" borderId="16" xfId="0" applyNumberFormat="1" applyFont="1" applyFill="1" applyBorder="1"/>
    <xf numFmtId="0" fontId="10" fillId="0" borderId="17" xfId="0" applyFont="1" applyFill="1" applyBorder="1"/>
    <xf numFmtId="0" fontId="10" fillId="0" borderId="3" xfId="0" applyFont="1" applyFill="1" applyBorder="1"/>
    <xf numFmtId="4" fontId="10" fillId="0" borderId="18" xfId="0" applyNumberFormat="1" applyFont="1" applyFill="1" applyBorder="1"/>
    <xf numFmtId="0" fontId="10" fillId="0" borderId="0" xfId="0" applyFont="1" applyFill="1"/>
    <xf numFmtId="0" fontId="0" fillId="0" borderId="0" xfId="0" applyFill="1"/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" fillId="5" borderId="20" xfId="0" applyFont="1" applyFill="1" applyBorder="1" applyAlignment="1">
      <alignment vertical="top"/>
    </xf>
    <xf numFmtId="0" fontId="1" fillId="5" borderId="1" xfId="0" applyFont="1" applyFill="1" applyBorder="1" applyAlignment="1">
      <alignment horizontal="center" vertical="top"/>
    </xf>
    <xf numFmtId="0" fontId="1" fillId="6" borderId="1" xfId="0" applyFont="1" applyFill="1" applyBorder="1" applyAlignment="1">
      <alignment horizontal="center" vertical="top"/>
    </xf>
    <xf numFmtId="0" fontId="5" fillId="5" borderId="0" xfId="0" applyFont="1" applyFill="1" applyAlignment="1">
      <alignment horizontal="left"/>
    </xf>
    <xf numFmtId="0" fontId="10" fillId="5" borderId="0" xfId="0" applyFont="1" applyFill="1"/>
    <xf numFmtId="3" fontId="3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/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top"/>
    </xf>
    <xf numFmtId="0" fontId="1" fillId="5" borderId="19" xfId="0" applyFont="1" applyFill="1" applyBorder="1"/>
    <xf numFmtId="0" fontId="6" fillId="5" borderId="5" xfId="0" applyFont="1" applyFill="1" applyBorder="1"/>
    <xf numFmtId="0" fontId="1" fillId="5" borderId="20" xfId="0" applyFont="1" applyFill="1" applyBorder="1"/>
    <xf numFmtId="0" fontId="6" fillId="5" borderId="1" xfId="0" applyFont="1" applyFill="1" applyBorder="1" applyAlignment="1">
      <alignment horizontal="right" vertical="top"/>
    </xf>
    <xf numFmtId="0" fontId="1" fillId="5" borderId="19" xfId="0" applyFont="1" applyFill="1" applyBorder="1" applyAlignment="1">
      <alignment horizontal="center" vertical="top"/>
    </xf>
    <xf numFmtId="0" fontId="4" fillId="5" borderId="5" xfId="0" applyFont="1" applyFill="1" applyBorder="1"/>
    <xf numFmtId="0" fontId="1" fillId="5" borderId="5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wrapText="1"/>
    </xf>
    <xf numFmtId="4" fontId="9" fillId="0" borderId="13" xfId="0" applyNumberFormat="1" applyFont="1" applyBorder="1" applyAlignment="1">
      <alignment vertical="center"/>
    </xf>
    <xf numFmtId="0" fontId="10" fillId="0" borderId="12" xfId="0" applyFont="1" applyBorder="1" applyAlignment="1">
      <alignment vertical="center" wrapText="1"/>
    </xf>
    <xf numFmtId="2" fontId="1" fillId="0" borderId="0" xfId="0" applyNumberFormat="1" applyFont="1"/>
    <xf numFmtId="0" fontId="10" fillId="0" borderId="15" xfId="0" applyFont="1" applyBorder="1" applyAlignment="1">
      <alignment vertical="center" wrapText="1"/>
    </xf>
    <xf numFmtId="167" fontId="10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vertical="center"/>
    </xf>
    <xf numFmtId="166" fontId="10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16" fillId="0" borderId="0" xfId="0" applyFont="1" applyFill="1" applyBorder="1"/>
    <xf numFmtId="0" fontId="5" fillId="0" borderId="0" xfId="0" applyFont="1" applyFill="1" applyAlignment="1"/>
    <xf numFmtId="0" fontId="5" fillId="0" borderId="0" xfId="0" applyFont="1" applyFill="1" applyBorder="1"/>
    <xf numFmtId="0" fontId="17" fillId="0" borderId="0" xfId="0" applyFont="1" applyFill="1"/>
    <xf numFmtId="0" fontId="1" fillId="5" borderId="0" xfId="0" applyFont="1" applyFill="1" applyBorder="1" applyAlignment="1">
      <alignment horizontal="center" vertical="top" wrapText="1"/>
    </xf>
    <xf numFmtId="0" fontId="1" fillId="6" borderId="0" xfId="0" applyFont="1" applyFill="1" applyBorder="1" applyAlignment="1">
      <alignment horizontal="center" vertical="top"/>
    </xf>
    <xf numFmtId="166" fontId="24" fillId="0" borderId="0" xfId="0" applyNumberFormat="1" applyFont="1" applyFill="1"/>
    <xf numFmtId="166" fontId="0" fillId="0" borderId="0" xfId="0" applyNumberFormat="1" applyFill="1"/>
    <xf numFmtId="0" fontId="4" fillId="0" borderId="1" xfId="0" applyFont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4" fillId="6" borderId="1" xfId="0" applyFont="1" applyFill="1" applyBorder="1" applyAlignment="1">
      <alignment vertical="top"/>
    </xf>
    <xf numFmtId="0" fontId="1" fillId="5" borderId="1" xfId="0" applyFont="1" applyFill="1" applyBorder="1" applyAlignment="1">
      <alignment vertical="top" wrapText="1"/>
    </xf>
    <xf numFmtId="0" fontId="1" fillId="0" borderId="9" xfId="0" applyFont="1" applyBorder="1"/>
    <xf numFmtId="0" fontId="1" fillId="3" borderId="10" xfId="0" applyFont="1" applyFill="1" applyBorder="1"/>
    <xf numFmtId="0" fontId="1" fillId="5" borderId="9" xfId="0" applyFont="1" applyFill="1" applyBorder="1" applyAlignment="1">
      <alignment vertical="top"/>
    </xf>
    <xf numFmtId="2" fontId="1" fillId="5" borderId="10" xfId="0" applyNumberFormat="1" applyFont="1" applyFill="1" applyBorder="1" applyAlignment="1">
      <alignment vertical="top"/>
    </xf>
    <xf numFmtId="2" fontId="1" fillId="5" borderId="10" xfId="0" applyNumberFormat="1" applyFont="1" applyFill="1" applyBorder="1"/>
    <xf numFmtId="0" fontId="1" fillId="5" borderId="9" xfId="0" applyFont="1" applyFill="1" applyBorder="1"/>
    <xf numFmtId="0" fontId="1" fillId="5" borderId="10" xfId="0" applyFont="1" applyFill="1" applyBorder="1"/>
    <xf numFmtId="0" fontId="1" fillId="5" borderId="10" xfId="0" applyFont="1" applyFill="1" applyBorder="1" applyAlignment="1">
      <alignment horizontal="right" vertical="top"/>
    </xf>
    <xf numFmtId="0" fontId="1" fillId="0" borderId="6" xfId="0" applyFont="1" applyBorder="1"/>
    <xf numFmtId="0" fontId="2" fillId="3" borderId="7" xfId="0" applyFont="1" applyFill="1" applyBorder="1" applyAlignment="1">
      <alignment vertical="top"/>
    </xf>
    <xf numFmtId="0" fontId="2" fillId="3" borderId="7" xfId="0" applyFont="1" applyFill="1" applyBorder="1"/>
    <xf numFmtId="0" fontId="1" fillId="3" borderId="7" xfId="0" applyFont="1" applyFill="1" applyBorder="1" applyAlignment="1">
      <alignment horizontal="center" vertical="top"/>
    </xf>
    <xf numFmtId="0" fontId="1" fillId="3" borderId="7" xfId="0" applyFont="1" applyFill="1" applyBorder="1"/>
    <xf numFmtId="2" fontId="2" fillId="3" borderId="8" xfId="0" applyNumberFormat="1" applyFont="1" applyFill="1" applyBorder="1"/>
    <xf numFmtId="0" fontId="1" fillId="0" borderId="4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9" xfId="0" applyFont="1" applyFill="1" applyBorder="1"/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6" fillId="0" borderId="1" xfId="0" applyFont="1" applyFill="1" applyBorder="1"/>
    <xf numFmtId="0" fontId="1" fillId="0" borderId="10" xfId="0" applyFont="1" applyFill="1" applyBorder="1"/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25" fillId="0" borderId="0" xfId="0" applyNumberFormat="1" applyFont="1" applyAlignment="1">
      <alignment horizontal="center" vertical="top"/>
    </xf>
    <xf numFmtId="0" fontId="25" fillId="0" borderId="0" xfId="0" applyFont="1"/>
    <xf numFmtId="168" fontId="23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166" fontId="23" fillId="7" borderId="1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top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vertical="center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Fill="1"/>
    <xf numFmtId="0" fontId="25" fillId="0" borderId="0" xfId="0" applyFont="1" applyFill="1"/>
    <xf numFmtId="49" fontId="25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 vertical="top"/>
    </xf>
    <xf numFmtId="2" fontId="2" fillId="0" borderId="42" xfId="0" applyNumberFormat="1" applyFont="1" applyFill="1" applyBorder="1"/>
    <xf numFmtId="2" fontId="2" fillId="3" borderId="7" xfId="0" applyNumberFormat="1" applyFont="1" applyFill="1" applyBorder="1"/>
    <xf numFmtId="4" fontId="10" fillId="0" borderId="0" xfId="0" applyNumberFormat="1" applyFont="1" applyFill="1"/>
    <xf numFmtId="0" fontId="10" fillId="0" borderId="3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3" fontId="1" fillId="0" borderId="1" xfId="4" applyFont="1" applyBorder="1" applyAlignment="1">
      <alignment vertical="center"/>
    </xf>
    <xf numFmtId="43" fontId="1" fillId="0" borderId="1" xfId="4" applyFont="1" applyBorder="1"/>
    <xf numFmtId="0" fontId="10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justify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49" fontId="1" fillId="0" borderId="0" xfId="0" applyNumberFormat="1" applyFont="1" applyAlignment="1">
      <alignment vertical="center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1" fillId="0" borderId="10" xfId="0" applyFont="1" applyFill="1" applyBorder="1" applyAlignment="1">
      <alignment vertical="top"/>
    </xf>
    <xf numFmtId="49" fontId="1" fillId="0" borderId="0" xfId="0" applyNumberFormat="1" applyFont="1" applyFill="1" applyAlignment="1">
      <alignment vertical="top"/>
    </xf>
    <xf numFmtId="0" fontId="1" fillId="0" borderId="1" xfId="0" applyFont="1" applyFill="1" applyBorder="1" applyAlignment="1">
      <alignment horizontal="right" vertical="top"/>
    </xf>
    <xf numFmtId="0" fontId="1" fillId="0" borderId="20" xfId="0" applyFont="1" applyFill="1" applyBorder="1"/>
    <xf numFmtId="0" fontId="1" fillId="0" borderId="19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vertical="top"/>
    </xf>
    <xf numFmtId="2" fontId="1" fillId="0" borderId="1" xfId="0" applyNumberFormat="1" applyFont="1" applyFill="1" applyBorder="1"/>
    <xf numFmtId="0" fontId="6" fillId="0" borderId="0" xfId="0" applyFont="1" applyFill="1"/>
    <xf numFmtId="0" fontId="1" fillId="0" borderId="20" xfId="0" applyFont="1" applyFill="1" applyBorder="1" applyAlignment="1">
      <alignment vertical="top" wrapText="1"/>
    </xf>
    <xf numFmtId="0" fontId="1" fillId="0" borderId="19" xfId="0" applyFont="1" applyFill="1" applyBorder="1" applyAlignment="1">
      <alignment vertical="top"/>
    </xf>
    <xf numFmtId="4" fontId="9" fillId="8" borderId="10" xfId="0" applyNumberFormat="1" applyFont="1" applyFill="1" applyBorder="1" applyAlignment="1">
      <alignment vertical="center"/>
    </xf>
    <xf numFmtId="43" fontId="1" fillId="0" borderId="0" xfId="4" applyFont="1" applyAlignment="1">
      <alignment vertical="center"/>
    </xf>
    <xf numFmtId="169" fontId="1" fillId="0" borderId="0" xfId="0" applyNumberFormat="1" applyFont="1" applyAlignment="1">
      <alignment vertical="center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/>
    <xf numFmtId="0" fontId="1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top" wrapText="1"/>
    </xf>
    <xf numFmtId="0" fontId="6" fillId="7" borderId="1" xfId="0" applyFont="1" applyFill="1" applyBorder="1"/>
    <xf numFmtId="0" fontId="1" fillId="7" borderId="1" xfId="0" applyFont="1" applyFill="1" applyBorder="1" applyAlignment="1">
      <alignment vertical="top"/>
    </xf>
    <xf numFmtId="0" fontId="1" fillId="7" borderId="10" xfId="0" applyFont="1" applyFill="1" applyBorder="1"/>
    <xf numFmtId="0" fontId="1" fillId="7" borderId="9" xfId="0" applyFont="1" applyFill="1" applyBorder="1"/>
    <xf numFmtId="0" fontId="1" fillId="7" borderId="1" xfId="0" applyFont="1" applyFill="1" applyBorder="1" applyAlignment="1">
      <alignment horizontal="center" vertical="top"/>
    </xf>
    <xf numFmtId="0" fontId="1" fillId="7" borderId="20" xfId="0" applyFont="1" applyFill="1" applyBorder="1"/>
    <xf numFmtId="0" fontId="1" fillId="7" borderId="19" xfId="0" applyFont="1" applyFill="1" applyBorder="1"/>
    <xf numFmtId="0" fontId="4" fillId="7" borderId="5" xfId="0" applyFont="1" applyFill="1" applyBorder="1"/>
    <xf numFmtId="0" fontId="3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28" xfId="2" applyNumberFormat="1" applyFont="1" applyFill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7" xfId="2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8" xfId="2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39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2" applyFont="1" applyFill="1" applyBorder="1" applyAlignment="1">
      <alignment horizontal="center" vertical="top" wrapText="1"/>
    </xf>
    <xf numFmtId="49" fontId="1" fillId="0" borderId="39" xfId="2" applyNumberFormat="1" applyFont="1" applyFill="1" applyBorder="1" applyAlignment="1">
      <alignment horizontal="center" vertical="center" wrapText="1"/>
    </xf>
    <xf numFmtId="49" fontId="1" fillId="0" borderId="36" xfId="2" applyNumberFormat="1" applyFont="1" applyFill="1" applyBorder="1" applyAlignment="1">
      <alignment horizontal="center" vertical="center" wrapText="1"/>
    </xf>
    <xf numFmtId="49" fontId="1" fillId="0" borderId="37" xfId="2" applyNumberFormat="1" applyFont="1" applyFill="1" applyBorder="1" applyAlignment="1">
      <alignment horizontal="center" vertical="center" wrapText="1"/>
    </xf>
    <xf numFmtId="49" fontId="1" fillId="0" borderId="38" xfId="2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 vertical="top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5" fillId="5" borderId="0" xfId="0" applyFont="1" applyFill="1" applyAlignment="1">
      <alignment horizontal="left" wrapText="1"/>
    </xf>
    <xf numFmtId="0" fontId="1" fillId="0" borderId="0" xfId="0" applyFont="1" applyAlignment="1">
      <alignment horizontal="right" vertical="top" wrapText="1"/>
    </xf>
    <xf numFmtId="49" fontId="1" fillId="3" borderId="28" xfId="2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9" fillId="0" borderId="0" xfId="0" applyFont="1" applyAlignment="1">
      <alignment horizontal="center" vertical="center" wrapText="1"/>
    </xf>
    <xf numFmtId="4" fontId="1" fillId="3" borderId="34" xfId="2" applyNumberFormat="1" applyFont="1" applyFill="1" applyBorder="1" applyAlignment="1">
      <alignment horizontal="center" vertical="center" wrapText="1"/>
    </xf>
    <xf numFmtId="4" fontId="10" fillId="0" borderId="10" xfId="0" applyNumberFormat="1" applyFont="1" applyBorder="1" applyAlignment="1"/>
    <xf numFmtId="49" fontId="1" fillId="3" borderId="35" xfId="2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/>
    <xf numFmtId="0" fontId="1" fillId="0" borderId="0" xfId="0" applyFont="1" applyAlignment="1">
      <alignment horizontal="right" vertical="top"/>
    </xf>
    <xf numFmtId="0" fontId="9" fillId="0" borderId="0" xfId="0" applyFont="1" applyAlignment="1">
      <alignment horizontal="center" wrapText="1"/>
    </xf>
    <xf numFmtId="0" fontId="5" fillId="5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5" fillId="0" borderId="0" xfId="0" applyFont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">
    <cellStyle name="Обычный" xfId="0" builtinId="0"/>
    <cellStyle name="Обычный_Лист1" xfId="1"/>
    <cellStyle name="Обычный_Лист2" xfId="2"/>
    <cellStyle name="Финансовый" xfId="4" builtinId="3"/>
    <cellStyle name="Финансовый_Коэф. Т-3   000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179"/>
  <sheetViews>
    <sheetView tabSelected="1" view="pageBreakPreview" topLeftCell="A7" zoomScale="90" zoomScaleNormal="100" zoomScaleSheetLayoutView="90" workbookViewId="0">
      <pane ySplit="6" topLeftCell="A13" activePane="bottomLeft" state="frozen"/>
      <selection activeCell="O28" sqref="O28"/>
      <selection pane="bottomLeft" activeCell="L8" sqref="L8"/>
    </sheetView>
  </sheetViews>
  <sheetFormatPr defaultRowHeight="12.75" outlineLevelCol="1" x14ac:dyDescent="0.2"/>
  <cols>
    <col min="1" max="1" width="5.140625" style="1" customWidth="1"/>
    <col min="2" max="2" width="37" style="50" customWidth="1"/>
    <col min="3" max="3" width="9.140625" style="1"/>
    <col min="4" max="4" width="7.5703125" style="1" customWidth="1"/>
    <col min="5" max="5" width="7.28515625" style="1" customWidth="1" outlineLevel="1"/>
    <col min="6" max="6" width="12.7109375" style="1" customWidth="1"/>
    <col min="7" max="7" width="10.7109375" style="1" customWidth="1"/>
    <col min="8" max="8" width="8.140625" style="3" customWidth="1"/>
    <col min="9" max="9" width="9.28515625" style="3" customWidth="1"/>
    <col min="10" max="10" width="11" style="3" customWidth="1"/>
    <col min="11" max="11" width="12.5703125" style="1" customWidth="1" outlineLevel="1"/>
    <col min="12" max="13" width="9.140625" style="1" customWidth="1" outlineLevel="1"/>
    <col min="14" max="14" width="10.85546875" style="1" customWidth="1" outlineLevel="1"/>
    <col min="15" max="19" width="9.140625" style="1" customWidth="1" outlineLevel="1"/>
    <col min="20" max="20" width="3" style="1" customWidth="1"/>
    <col min="21" max="21" width="9.140625" style="1"/>
    <col min="22" max="22" width="34.42578125" style="1" customWidth="1"/>
    <col min="23" max="16384" width="9.140625" style="1"/>
  </cols>
  <sheetData>
    <row r="1" spans="1:22" s="2" customFormat="1" ht="20.25" customHeight="1" x14ac:dyDescent="0.25">
      <c r="B1" s="225"/>
      <c r="G1" s="180"/>
      <c r="H1" s="180"/>
      <c r="I1" s="180"/>
      <c r="J1" s="229" t="s">
        <v>294</v>
      </c>
    </row>
    <row r="2" spans="1:22" s="2" customFormat="1" ht="15.75" x14ac:dyDescent="0.25">
      <c r="B2" s="225" t="s">
        <v>123</v>
      </c>
      <c r="C2" s="181"/>
      <c r="D2" s="181"/>
      <c r="E2" s="181"/>
      <c r="F2" s="226" t="s">
        <v>102</v>
      </c>
      <c r="H2" s="226"/>
      <c r="I2" s="180"/>
      <c r="J2" s="180"/>
    </row>
    <row r="3" spans="1:22" s="2" customFormat="1" ht="36" customHeight="1" x14ac:dyDescent="0.25">
      <c r="B3" s="225"/>
      <c r="C3" s="181"/>
      <c r="D3" s="181"/>
      <c r="E3" s="181"/>
      <c r="F3" s="283" t="s">
        <v>219</v>
      </c>
      <c r="G3" s="283"/>
      <c r="H3" s="283"/>
      <c r="I3" s="283"/>
      <c r="J3" s="227"/>
    </row>
    <row r="4" spans="1:22" s="2" customFormat="1" ht="22.5" customHeight="1" x14ac:dyDescent="0.25">
      <c r="B4" s="226" t="s">
        <v>188</v>
      </c>
      <c r="C4" s="181"/>
      <c r="D4" s="181"/>
      <c r="E4" s="181"/>
      <c r="F4" s="226" t="s">
        <v>372</v>
      </c>
      <c r="H4" s="226"/>
      <c r="I4" s="226"/>
      <c r="J4" s="226"/>
    </row>
    <row r="5" spans="1:22" s="2" customFormat="1" ht="25.5" customHeight="1" x14ac:dyDescent="0.25">
      <c r="B5" s="226" t="s">
        <v>286</v>
      </c>
      <c r="C5" s="181"/>
      <c r="D5" s="181"/>
      <c r="E5" s="181"/>
      <c r="F5" s="226" t="s">
        <v>373</v>
      </c>
      <c r="H5" s="226"/>
      <c r="I5" s="226"/>
      <c r="J5" s="226"/>
    </row>
    <row r="6" spans="1:22" s="2" customFormat="1" ht="15.75" x14ac:dyDescent="0.25">
      <c r="B6" s="228"/>
      <c r="H6" s="49"/>
      <c r="J6" s="49"/>
    </row>
    <row r="7" spans="1:22" s="230" customFormat="1" ht="41.25" customHeight="1" x14ac:dyDescent="0.2">
      <c r="A7" s="284" t="s">
        <v>371</v>
      </c>
      <c r="B7" s="284"/>
      <c r="C7" s="284"/>
      <c r="D7" s="284"/>
      <c r="E7" s="284"/>
      <c r="F7" s="284"/>
      <c r="G7" s="284"/>
      <c r="H7" s="284"/>
      <c r="I7" s="284"/>
      <c r="J7" s="284"/>
    </row>
    <row r="8" spans="1:22" ht="21" customHeight="1" thickBot="1" x14ac:dyDescent="0.25">
      <c r="A8" s="285"/>
      <c r="B8" s="285"/>
      <c r="C8" s="285"/>
      <c r="D8" s="285"/>
      <c r="E8" s="285"/>
      <c r="F8" s="285"/>
      <c r="G8" s="285"/>
      <c r="H8" s="285"/>
      <c r="I8" s="285"/>
      <c r="J8" s="285"/>
    </row>
    <row r="9" spans="1:22" ht="15" x14ac:dyDescent="0.2">
      <c r="A9" s="286" t="s">
        <v>0</v>
      </c>
      <c r="B9" s="294" t="s">
        <v>119</v>
      </c>
      <c r="C9" s="297" t="s">
        <v>122</v>
      </c>
      <c r="D9" s="297" t="s">
        <v>298</v>
      </c>
      <c r="E9" s="297" t="s">
        <v>121</v>
      </c>
      <c r="F9" s="294" t="s">
        <v>1</v>
      </c>
      <c r="G9" s="289" t="s">
        <v>105</v>
      </c>
      <c r="H9" s="289" t="s">
        <v>106</v>
      </c>
      <c r="I9" s="302" t="s">
        <v>107</v>
      </c>
      <c r="J9" s="303"/>
    </row>
    <row r="10" spans="1:22" ht="38.25" customHeight="1" x14ac:dyDescent="0.2">
      <c r="A10" s="287"/>
      <c r="B10" s="295"/>
      <c r="C10" s="298"/>
      <c r="D10" s="298"/>
      <c r="E10" s="298"/>
      <c r="F10" s="295"/>
      <c r="G10" s="290"/>
      <c r="H10" s="290"/>
      <c r="I10" s="292" t="s">
        <v>108</v>
      </c>
      <c r="J10" s="300" t="s">
        <v>179</v>
      </c>
    </row>
    <row r="11" spans="1:22" ht="13.5" thickBot="1" x14ac:dyDescent="0.25">
      <c r="A11" s="288"/>
      <c r="B11" s="296"/>
      <c r="C11" s="299"/>
      <c r="D11" s="299"/>
      <c r="E11" s="299"/>
      <c r="F11" s="296"/>
      <c r="G11" s="291"/>
      <c r="H11" s="291"/>
      <c r="I11" s="293"/>
      <c r="J11" s="301"/>
      <c r="O11" s="1">
        <v>0</v>
      </c>
      <c r="P11" s="1">
        <v>0.21</v>
      </c>
      <c r="Q11" s="1">
        <v>0.41</v>
      </c>
      <c r="R11" s="1">
        <v>0.61</v>
      </c>
    </row>
    <row r="12" spans="1:22" ht="12" customHeight="1" x14ac:dyDescent="0.2">
      <c r="A12" s="209">
        <v>1</v>
      </c>
      <c r="B12" s="210">
        <v>2</v>
      </c>
      <c r="C12" s="210">
        <v>3</v>
      </c>
      <c r="D12" s="210">
        <v>4</v>
      </c>
      <c r="E12" s="210">
        <v>5</v>
      </c>
      <c r="F12" s="210">
        <v>6</v>
      </c>
      <c r="G12" s="210">
        <v>7</v>
      </c>
      <c r="H12" s="210">
        <v>8</v>
      </c>
      <c r="I12" s="210">
        <v>9</v>
      </c>
      <c r="J12" s="211">
        <v>10</v>
      </c>
      <c r="L12" s="187"/>
      <c r="O12" s="1">
        <v>0.2</v>
      </c>
      <c r="P12" s="1">
        <v>0.4</v>
      </c>
      <c r="Q12" s="1">
        <v>0.6</v>
      </c>
      <c r="R12" s="1">
        <v>1</v>
      </c>
    </row>
    <row r="13" spans="1:22" ht="17.25" customHeight="1" x14ac:dyDescent="0.2">
      <c r="A13" s="195"/>
      <c r="B13" s="191" t="s">
        <v>2</v>
      </c>
      <c r="C13" s="5"/>
      <c r="D13" s="5"/>
      <c r="E13" s="5"/>
      <c r="F13" s="5"/>
      <c r="G13" s="5"/>
      <c r="H13" s="9"/>
      <c r="I13" s="9"/>
      <c r="J13" s="196"/>
      <c r="K13" s="188" t="s">
        <v>3</v>
      </c>
      <c r="L13" s="187" t="s">
        <v>34</v>
      </c>
      <c r="N13" s="1" t="s">
        <v>3</v>
      </c>
      <c r="O13" s="1">
        <v>0.4</v>
      </c>
      <c r="P13" s="1">
        <v>0.47899999999999998</v>
      </c>
      <c r="Q13" s="1">
        <v>0.57399999999999995</v>
      </c>
      <c r="R13" s="1">
        <v>0.68899999999999995</v>
      </c>
      <c r="U13" s="1" t="s">
        <v>312</v>
      </c>
      <c r="V13" s="1" t="s">
        <v>328</v>
      </c>
    </row>
    <row r="14" spans="1:22" s="50" customFormat="1" ht="14.25" customHeight="1" x14ac:dyDescent="0.2">
      <c r="A14" s="197">
        <v>1</v>
      </c>
      <c r="B14" s="138" t="s">
        <v>67</v>
      </c>
      <c r="C14" s="138">
        <v>601.1</v>
      </c>
      <c r="D14" s="138">
        <v>0</v>
      </c>
      <c r="E14" s="158" t="s">
        <v>131</v>
      </c>
      <c r="F14" s="159" t="s">
        <v>34</v>
      </c>
      <c r="G14" s="160">
        <v>1</v>
      </c>
      <c r="H14" s="138">
        <f>C14*G14*(1-D14)</f>
        <v>601.1</v>
      </c>
      <c r="I14" s="138">
        <f>IF(F14=K$13,K14,IF(F14=L$13,L14,"-"))</f>
        <v>0.2</v>
      </c>
      <c r="J14" s="198">
        <f>H14*I14</f>
        <v>120.22000000000001</v>
      </c>
      <c r="K14" s="50">
        <f>IF(D14&gt;=O$11,IF(D14&lt;=O$12,O$13,0),0)+IF(D14&gt;=P$11,IF(D14&lt;=P$12,P$13,0),0)+IF(D14&gt;=Q$11,IF(D14&lt;=Q$12,Q$13,0),0)+IF(D14&gt;=R$11,IF(D14&lt;=R$12,R$13,0),0)</f>
        <v>0.4</v>
      </c>
      <c r="L14" s="50">
        <f t="shared" ref="L14:L47" si="0">IF(D14&gt;=O$11,IF(D14&lt;=O$12,O$14,0),0)+IF(D14&gt;=P$11,IF(D14&lt;=P$12,P$14,0),0)+IF(D14&gt;=Q$11,IF(D14&lt;=Q$12,Q$14,0),0)+IF(D14&gt;=R$11,IF(D14&lt;=R$12,R$14,0),0)</f>
        <v>0.2</v>
      </c>
      <c r="N14" s="50" t="s">
        <v>34</v>
      </c>
      <c r="O14" s="50">
        <v>0.2</v>
      </c>
      <c r="P14" s="50">
        <v>0.24</v>
      </c>
      <c r="Q14" s="50">
        <v>0.28799999999999998</v>
      </c>
      <c r="R14" s="50">
        <v>0.34599999999999997</v>
      </c>
      <c r="U14" s="231" t="s">
        <v>313</v>
      </c>
      <c r="V14" s="50" t="s">
        <v>327</v>
      </c>
    </row>
    <row r="15" spans="1:22" ht="14.25" customHeight="1" x14ac:dyDescent="0.2">
      <c r="A15" s="197">
        <v>2</v>
      </c>
      <c r="B15" s="138" t="s">
        <v>66</v>
      </c>
      <c r="C15" s="138">
        <v>568.20000000000005</v>
      </c>
      <c r="D15" s="138">
        <v>0.1</v>
      </c>
      <c r="E15" s="152" t="s">
        <v>5</v>
      </c>
      <c r="F15" s="159" t="s">
        <v>34</v>
      </c>
      <c r="G15" s="139">
        <v>0.5</v>
      </c>
      <c r="H15" s="138">
        <f t="shared" ref="H15:H26" si="1">C15*G15*(1-D15)</f>
        <v>255.69000000000003</v>
      </c>
      <c r="I15" s="138">
        <f t="shared" ref="I15:I26" si="2">IF(F15=K$13,K15,IF(F15=L$13,L15,"-"))</f>
        <v>0.2</v>
      </c>
      <c r="J15" s="199">
        <f>H15*I15</f>
        <v>51.138000000000005</v>
      </c>
      <c r="K15" s="50">
        <f t="shared" ref="K15:K70" si="3">IF(D15&gt;=O$11,IF(D15&lt;=O$12,O$13,0),0)+IF(D15&gt;=P$11,IF(D15&lt;=P$12,P$13,0),0)+IF(D15&gt;=Q$11,IF(D15&lt;=Q$12,Q$13,0),0)+IF(D15&gt;=R$11,IF(D15&lt;=R$12,R$13,0),0)</f>
        <v>0.4</v>
      </c>
      <c r="L15" s="50">
        <f t="shared" si="0"/>
        <v>0.2</v>
      </c>
      <c r="U15" s="231" t="s">
        <v>313</v>
      </c>
      <c r="V15" s="50" t="s">
        <v>327</v>
      </c>
    </row>
    <row r="16" spans="1:22" ht="14.25" customHeight="1" x14ac:dyDescent="0.2">
      <c r="A16" s="197">
        <v>3</v>
      </c>
      <c r="B16" s="138" t="s">
        <v>66</v>
      </c>
      <c r="C16" s="138">
        <v>1000</v>
      </c>
      <c r="D16" s="138">
        <v>0.1</v>
      </c>
      <c r="E16" s="152" t="s">
        <v>5</v>
      </c>
      <c r="F16" s="159" t="s">
        <v>34</v>
      </c>
      <c r="G16" s="139">
        <v>0.5</v>
      </c>
      <c r="H16" s="138">
        <f t="shared" si="1"/>
        <v>450</v>
      </c>
      <c r="I16" s="138">
        <f t="shared" si="2"/>
        <v>0.2</v>
      </c>
      <c r="J16" s="199">
        <f t="shared" ref="J16:J74" si="4">H16*I16</f>
        <v>90</v>
      </c>
      <c r="K16" s="50">
        <f t="shared" si="3"/>
        <v>0.4</v>
      </c>
      <c r="L16" s="50">
        <f t="shared" si="0"/>
        <v>0.2</v>
      </c>
      <c r="U16" s="231" t="s">
        <v>313</v>
      </c>
      <c r="V16" s="50" t="s">
        <v>327</v>
      </c>
    </row>
    <row r="17" spans="1:22" x14ac:dyDescent="0.2">
      <c r="A17" s="197">
        <v>4</v>
      </c>
      <c r="B17" s="138" t="s">
        <v>254</v>
      </c>
      <c r="C17" s="137">
        <v>77.599999999999994</v>
      </c>
      <c r="D17" s="137">
        <v>0.1</v>
      </c>
      <c r="E17" s="158" t="s">
        <v>131</v>
      </c>
      <c r="F17" s="159" t="s">
        <v>34</v>
      </c>
      <c r="G17" s="139">
        <v>8</v>
      </c>
      <c r="H17" s="138">
        <f t="shared" si="1"/>
        <v>558.72</v>
      </c>
      <c r="I17" s="138">
        <f t="shared" si="2"/>
        <v>0.2</v>
      </c>
      <c r="J17" s="199">
        <f t="shared" si="4"/>
        <v>111.74400000000001</v>
      </c>
      <c r="K17" s="50">
        <f t="shared" si="3"/>
        <v>0.4</v>
      </c>
      <c r="L17" s="50">
        <f t="shared" si="0"/>
        <v>0.2</v>
      </c>
      <c r="U17" s="231" t="s">
        <v>313</v>
      </c>
      <c r="V17" s="50" t="s">
        <v>327</v>
      </c>
    </row>
    <row r="18" spans="1:22" x14ac:dyDescent="0.2">
      <c r="A18" s="197">
        <v>5</v>
      </c>
      <c r="B18" s="138" t="s">
        <v>6</v>
      </c>
      <c r="C18" s="137">
        <v>66.3</v>
      </c>
      <c r="D18" s="137">
        <v>0</v>
      </c>
      <c r="E18" s="158" t="s">
        <v>131</v>
      </c>
      <c r="F18" s="159" t="s">
        <v>34</v>
      </c>
      <c r="G18" s="139">
        <v>0.1</v>
      </c>
      <c r="H18" s="138">
        <f t="shared" si="1"/>
        <v>6.63</v>
      </c>
      <c r="I18" s="138">
        <f t="shared" si="2"/>
        <v>0.2</v>
      </c>
      <c r="J18" s="199">
        <f t="shared" si="4"/>
        <v>1.3260000000000001</v>
      </c>
      <c r="K18" s="50">
        <f t="shared" si="3"/>
        <v>0.4</v>
      </c>
      <c r="L18" s="50">
        <f t="shared" si="0"/>
        <v>0.2</v>
      </c>
      <c r="U18" s="231" t="s">
        <v>313</v>
      </c>
      <c r="V18" s="50" t="s">
        <v>327</v>
      </c>
    </row>
    <row r="19" spans="1:22" x14ac:dyDescent="0.2">
      <c r="A19" s="197">
        <v>6</v>
      </c>
      <c r="B19" s="138" t="s">
        <v>255</v>
      </c>
      <c r="C19" s="137">
        <v>130.5</v>
      </c>
      <c r="D19" s="137">
        <v>0</v>
      </c>
      <c r="E19" s="158" t="s">
        <v>131</v>
      </c>
      <c r="F19" s="159" t="s">
        <v>34</v>
      </c>
      <c r="G19" s="139">
        <v>0.5</v>
      </c>
      <c r="H19" s="138">
        <f t="shared" si="1"/>
        <v>65.25</v>
      </c>
      <c r="I19" s="138">
        <f t="shared" si="2"/>
        <v>0.2</v>
      </c>
      <c r="J19" s="199">
        <f t="shared" si="4"/>
        <v>13.05</v>
      </c>
      <c r="K19" s="50">
        <f t="shared" si="3"/>
        <v>0.4</v>
      </c>
      <c r="L19" s="50">
        <f t="shared" si="0"/>
        <v>0.2</v>
      </c>
      <c r="U19" s="231" t="s">
        <v>313</v>
      </c>
      <c r="V19" s="50" t="s">
        <v>327</v>
      </c>
    </row>
    <row r="20" spans="1:22" x14ac:dyDescent="0.2">
      <c r="A20" s="197">
        <v>7</v>
      </c>
      <c r="B20" s="138" t="s">
        <v>256</v>
      </c>
      <c r="C20" s="137">
        <v>32.799999999999997</v>
      </c>
      <c r="D20" s="137">
        <v>0.5</v>
      </c>
      <c r="E20" s="158" t="s">
        <v>131</v>
      </c>
      <c r="F20" s="153" t="s">
        <v>3</v>
      </c>
      <c r="G20" s="139">
        <v>4</v>
      </c>
      <c r="H20" s="138">
        <f t="shared" si="1"/>
        <v>65.599999999999994</v>
      </c>
      <c r="I20" s="138">
        <f t="shared" si="2"/>
        <v>0.57399999999999995</v>
      </c>
      <c r="J20" s="199">
        <f t="shared" si="4"/>
        <v>37.654399999999995</v>
      </c>
      <c r="K20" s="50">
        <f t="shared" si="3"/>
        <v>0.57399999999999995</v>
      </c>
      <c r="L20" s="50">
        <f t="shared" si="0"/>
        <v>0.28799999999999998</v>
      </c>
      <c r="U20" s="232" t="s">
        <v>314</v>
      </c>
      <c r="V20" s="50" t="s">
        <v>327</v>
      </c>
    </row>
    <row r="21" spans="1:22" x14ac:dyDescent="0.2">
      <c r="A21" s="197">
        <v>8</v>
      </c>
      <c r="B21" s="138" t="s">
        <v>257</v>
      </c>
      <c r="C21" s="137">
        <v>23.3</v>
      </c>
      <c r="D21" s="137">
        <v>0.4</v>
      </c>
      <c r="E21" s="158" t="s">
        <v>131</v>
      </c>
      <c r="F21" s="153" t="s">
        <v>3</v>
      </c>
      <c r="G21" s="139">
        <v>4</v>
      </c>
      <c r="H21" s="138">
        <f>C21*G21*(1-D21)</f>
        <v>55.92</v>
      </c>
      <c r="I21" s="138">
        <f t="shared" si="2"/>
        <v>0.47899999999999998</v>
      </c>
      <c r="J21" s="199">
        <f t="shared" si="4"/>
        <v>26.785679999999999</v>
      </c>
      <c r="K21" s="50">
        <f t="shared" si="3"/>
        <v>0.47899999999999998</v>
      </c>
      <c r="L21" s="50">
        <f t="shared" si="0"/>
        <v>0.24</v>
      </c>
      <c r="U21" s="232" t="s">
        <v>321</v>
      </c>
      <c r="V21" s="50" t="s">
        <v>327</v>
      </c>
    </row>
    <row r="22" spans="1:22" x14ac:dyDescent="0.2">
      <c r="A22" s="197">
        <v>9</v>
      </c>
      <c r="B22" s="138" t="s">
        <v>171</v>
      </c>
      <c r="C22" s="137">
        <v>41.5</v>
      </c>
      <c r="D22" s="137">
        <v>0.6</v>
      </c>
      <c r="E22" s="152" t="s">
        <v>5</v>
      </c>
      <c r="F22" s="159" t="s">
        <v>34</v>
      </c>
      <c r="G22" s="139">
        <v>1</v>
      </c>
      <c r="H22" s="138">
        <f t="shared" si="1"/>
        <v>16.600000000000001</v>
      </c>
      <c r="I22" s="138">
        <f t="shared" si="2"/>
        <v>0.28799999999999998</v>
      </c>
      <c r="J22" s="199">
        <f t="shared" si="4"/>
        <v>4.7808000000000002</v>
      </c>
      <c r="K22" s="50">
        <f t="shared" si="3"/>
        <v>0.57399999999999995</v>
      </c>
      <c r="L22" s="50">
        <f t="shared" si="0"/>
        <v>0.28799999999999998</v>
      </c>
      <c r="U22" s="232" t="s">
        <v>316</v>
      </c>
      <c r="V22" s="50" t="s">
        <v>327</v>
      </c>
    </row>
    <row r="23" spans="1:22" x14ac:dyDescent="0.2">
      <c r="A23" s="197">
        <v>10</v>
      </c>
      <c r="B23" s="138" t="s">
        <v>258</v>
      </c>
      <c r="C23" s="137">
        <v>41.4</v>
      </c>
      <c r="D23" s="137">
        <v>0.1</v>
      </c>
      <c r="E23" s="152" t="s">
        <v>5</v>
      </c>
      <c r="F23" s="159" t="s">
        <v>34</v>
      </c>
      <c r="G23" s="139">
        <v>0.33</v>
      </c>
      <c r="H23" s="138">
        <f t="shared" si="1"/>
        <v>12.295800000000002</v>
      </c>
      <c r="I23" s="138">
        <f t="shared" si="2"/>
        <v>0.2</v>
      </c>
      <c r="J23" s="199">
        <f t="shared" si="4"/>
        <v>2.4591600000000007</v>
      </c>
      <c r="K23" s="50">
        <f t="shared" si="3"/>
        <v>0.4</v>
      </c>
      <c r="L23" s="50">
        <f t="shared" si="0"/>
        <v>0.2</v>
      </c>
      <c r="U23" s="231" t="s">
        <v>313</v>
      </c>
      <c r="V23" s="50" t="s">
        <v>327</v>
      </c>
    </row>
    <row r="24" spans="1:22" x14ac:dyDescent="0.2">
      <c r="A24" s="197">
        <v>11</v>
      </c>
      <c r="B24" s="138" t="s">
        <v>259</v>
      </c>
      <c r="C24" s="137">
        <v>32.6</v>
      </c>
      <c r="D24" s="137">
        <v>0.1</v>
      </c>
      <c r="E24" s="152" t="s">
        <v>58</v>
      </c>
      <c r="F24" s="159" t="s">
        <v>34</v>
      </c>
      <c r="G24" s="139">
        <v>0.1</v>
      </c>
      <c r="H24" s="138">
        <f t="shared" si="1"/>
        <v>2.9340000000000002</v>
      </c>
      <c r="I24" s="138">
        <f t="shared" si="2"/>
        <v>0.2</v>
      </c>
      <c r="J24" s="199">
        <f t="shared" si="4"/>
        <v>0.5868000000000001</v>
      </c>
      <c r="K24" s="50">
        <f t="shared" si="3"/>
        <v>0.4</v>
      </c>
      <c r="L24" s="50">
        <f t="shared" si="0"/>
        <v>0.2</v>
      </c>
      <c r="U24" s="231" t="s">
        <v>313</v>
      </c>
      <c r="V24" s="50" t="s">
        <v>327</v>
      </c>
    </row>
    <row r="25" spans="1:22" x14ac:dyDescent="0.2">
      <c r="A25" s="197">
        <v>12</v>
      </c>
      <c r="B25" s="138" t="s">
        <v>207</v>
      </c>
      <c r="C25" s="137">
        <v>148.1</v>
      </c>
      <c r="D25" s="137">
        <v>0.1</v>
      </c>
      <c r="E25" s="158" t="s">
        <v>131</v>
      </c>
      <c r="F25" s="159" t="s">
        <v>34</v>
      </c>
      <c r="G25" s="139">
        <v>1</v>
      </c>
      <c r="H25" s="138">
        <f t="shared" si="1"/>
        <v>133.29</v>
      </c>
      <c r="I25" s="138">
        <f t="shared" si="2"/>
        <v>0.2</v>
      </c>
      <c r="J25" s="199">
        <f t="shared" si="4"/>
        <v>26.658000000000001</v>
      </c>
      <c r="K25" s="50">
        <f t="shared" si="3"/>
        <v>0.4</v>
      </c>
      <c r="L25" s="50">
        <f t="shared" si="0"/>
        <v>0.2</v>
      </c>
      <c r="U25" s="231" t="s">
        <v>313</v>
      </c>
      <c r="V25" s="50" t="s">
        <v>327</v>
      </c>
    </row>
    <row r="26" spans="1:22" x14ac:dyDescent="0.2">
      <c r="A26" s="197">
        <v>13</v>
      </c>
      <c r="B26" s="138" t="s">
        <v>154</v>
      </c>
      <c r="C26" s="137">
        <v>347.2</v>
      </c>
      <c r="D26" s="137">
        <v>0.5</v>
      </c>
      <c r="E26" s="152" t="s">
        <v>27</v>
      </c>
      <c r="F26" s="159" t="s">
        <v>34</v>
      </c>
      <c r="G26" s="139">
        <v>0.33</v>
      </c>
      <c r="H26" s="138">
        <f t="shared" si="1"/>
        <v>57.288000000000004</v>
      </c>
      <c r="I26" s="138">
        <f t="shared" si="2"/>
        <v>0.28799999999999998</v>
      </c>
      <c r="J26" s="199">
        <f t="shared" si="4"/>
        <v>16.498944000000002</v>
      </c>
      <c r="K26" s="50">
        <f t="shared" si="3"/>
        <v>0.57399999999999995</v>
      </c>
      <c r="L26" s="50">
        <f t="shared" si="0"/>
        <v>0.28799999999999998</v>
      </c>
      <c r="U26" s="232" t="s">
        <v>316</v>
      </c>
      <c r="V26" s="50" t="s">
        <v>327</v>
      </c>
    </row>
    <row r="27" spans="1:22" ht="15.75" x14ac:dyDescent="0.2">
      <c r="A27" s="200"/>
      <c r="B27" s="192" t="s">
        <v>144</v>
      </c>
      <c r="C27" s="137"/>
      <c r="D27" s="137"/>
      <c r="E27" s="152"/>
      <c r="F27" s="152"/>
      <c r="G27" s="139"/>
      <c r="H27" s="137"/>
      <c r="I27" s="137"/>
      <c r="J27" s="201"/>
      <c r="K27" s="50">
        <f t="shared" si="3"/>
        <v>0.4</v>
      </c>
      <c r="L27" s="50">
        <f t="shared" si="0"/>
        <v>0.2</v>
      </c>
      <c r="U27" s="232"/>
    </row>
    <row r="28" spans="1:22" x14ac:dyDescent="0.2">
      <c r="A28" s="200">
        <v>14</v>
      </c>
      <c r="B28" s="138" t="s">
        <v>208</v>
      </c>
      <c r="C28" s="137">
        <v>22.4</v>
      </c>
      <c r="D28" s="137">
        <v>0.3</v>
      </c>
      <c r="E28" s="158" t="s">
        <v>192</v>
      </c>
      <c r="F28" s="152" t="s">
        <v>3</v>
      </c>
      <c r="G28" s="139">
        <v>8</v>
      </c>
      <c r="H28" s="138">
        <f>C28*G28*(1-D28)</f>
        <v>125.43999999999998</v>
      </c>
      <c r="I28" s="138">
        <f t="shared" ref="I28:I30" si="5">IF(F28=K$13,K28,IF(F28=L$13,L28,"-"))</f>
        <v>0.47899999999999998</v>
      </c>
      <c r="J28" s="201">
        <f t="shared" si="4"/>
        <v>60.085759999999986</v>
      </c>
      <c r="K28" s="50">
        <f t="shared" si="3"/>
        <v>0.47899999999999998</v>
      </c>
      <c r="L28" s="50">
        <f t="shared" si="0"/>
        <v>0.24</v>
      </c>
      <c r="U28" s="232" t="s">
        <v>321</v>
      </c>
      <c r="V28" s="50" t="s">
        <v>327</v>
      </c>
    </row>
    <row r="29" spans="1:22" x14ac:dyDescent="0.2">
      <c r="A29" s="200">
        <v>15</v>
      </c>
      <c r="B29" s="138" t="s">
        <v>68</v>
      </c>
      <c r="C29" s="137">
        <v>21.5</v>
      </c>
      <c r="D29" s="137">
        <v>0.3</v>
      </c>
      <c r="E29" s="158" t="s">
        <v>192</v>
      </c>
      <c r="F29" s="152" t="s">
        <v>3</v>
      </c>
      <c r="G29" s="139">
        <v>1</v>
      </c>
      <c r="H29" s="138">
        <f t="shared" ref="H29:H32" si="6">C29*G29*(1-D29)</f>
        <v>15.049999999999999</v>
      </c>
      <c r="I29" s="138">
        <f t="shared" si="5"/>
        <v>0.47899999999999998</v>
      </c>
      <c r="J29" s="201">
        <f t="shared" si="4"/>
        <v>7.2089499999999989</v>
      </c>
      <c r="K29" s="50">
        <f t="shared" si="3"/>
        <v>0.47899999999999998</v>
      </c>
      <c r="L29" s="50">
        <f t="shared" si="0"/>
        <v>0.24</v>
      </c>
      <c r="U29" s="232" t="s">
        <v>321</v>
      </c>
      <c r="V29" s="50" t="s">
        <v>327</v>
      </c>
    </row>
    <row r="30" spans="1:22" x14ac:dyDescent="0.2">
      <c r="A30" s="200">
        <v>16</v>
      </c>
      <c r="B30" s="138" t="s">
        <v>69</v>
      </c>
      <c r="C30" s="137">
        <v>27.2</v>
      </c>
      <c r="D30" s="137">
        <v>0.2</v>
      </c>
      <c r="E30" s="158" t="s">
        <v>192</v>
      </c>
      <c r="F30" s="152" t="s">
        <v>3</v>
      </c>
      <c r="G30" s="139">
        <v>4</v>
      </c>
      <c r="H30" s="138">
        <f>C30*G30*(1-D30)</f>
        <v>87.04</v>
      </c>
      <c r="I30" s="138">
        <f t="shared" si="5"/>
        <v>0.4</v>
      </c>
      <c r="J30" s="201">
        <f t="shared" si="4"/>
        <v>34.816000000000003</v>
      </c>
      <c r="K30" s="50">
        <f t="shared" si="3"/>
        <v>0.4</v>
      </c>
      <c r="L30" s="50">
        <f t="shared" si="0"/>
        <v>0.2</v>
      </c>
      <c r="U30" s="232" t="s">
        <v>317</v>
      </c>
      <c r="V30" s="50" t="s">
        <v>327</v>
      </c>
    </row>
    <row r="31" spans="1:22" s="2" customFormat="1" x14ac:dyDescent="0.2">
      <c r="A31" s="212">
        <v>17</v>
      </c>
      <c r="B31" s="213" t="s">
        <v>155</v>
      </c>
      <c r="C31" s="6">
        <v>21.8</v>
      </c>
      <c r="D31" s="6">
        <v>0</v>
      </c>
      <c r="E31" s="248" t="s">
        <v>131</v>
      </c>
      <c r="F31" s="214" t="s">
        <v>3</v>
      </c>
      <c r="G31" s="215">
        <v>12</v>
      </c>
      <c r="H31" s="213">
        <f t="shared" si="6"/>
        <v>261.60000000000002</v>
      </c>
      <c r="I31" s="213">
        <v>1.028</v>
      </c>
      <c r="J31" s="216">
        <f t="shared" si="4"/>
        <v>268.9248</v>
      </c>
      <c r="K31" s="50">
        <f t="shared" si="3"/>
        <v>0.4</v>
      </c>
      <c r="L31" s="50">
        <f t="shared" si="0"/>
        <v>0.2</v>
      </c>
      <c r="U31" s="233" t="s">
        <v>324</v>
      </c>
      <c r="V31" s="50" t="s">
        <v>327</v>
      </c>
    </row>
    <row r="32" spans="1:22" ht="14.25" customHeight="1" x14ac:dyDescent="0.2">
      <c r="A32" s="200">
        <v>18</v>
      </c>
      <c r="B32" s="138" t="s">
        <v>7</v>
      </c>
      <c r="C32" s="137">
        <v>6</v>
      </c>
      <c r="D32" s="137">
        <v>0.1</v>
      </c>
      <c r="E32" s="152" t="s">
        <v>60</v>
      </c>
      <c r="F32" s="152" t="s">
        <v>3</v>
      </c>
      <c r="G32" s="139">
        <v>0.33</v>
      </c>
      <c r="H32" s="138">
        <f t="shared" si="6"/>
        <v>1.782</v>
      </c>
      <c r="I32" s="138">
        <f>IF(F32=K$13,K32,IF(F32=L$13,L32,"-"))</f>
        <v>0.4</v>
      </c>
      <c r="J32" s="201">
        <f t="shared" si="4"/>
        <v>0.7128000000000001</v>
      </c>
      <c r="K32" s="50">
        <f t="shared" si="3"/>
        <v>0.4</v>
      </c>
      <c r="L32" s="50">
        <f t="shared" si="0"/>
        <v>0.2</v>
      </c>
      <c r="U32" s="232" t="s">
        <v>317</v>
      </c>
      <c r="V32" s="50" t="s">
        <v>327</v>
      </c>
    </row>
    <row r="33" spans="1:22" ht="15.75" customHeight="1" x14ac:dyDescent="0.2">
      <c r="A33" s="200"/>
      <c r="B33" s="192" t="s">
        <v>139</v>
      </c>
      <c r="C33" s="137"/>
      <c r="D33" s="137"/>
      <c r="E33" s="152"/>
      <c r="F33" s="152"/>
      <c r="G33" s="139"/>
      <c r="H33" s="137"/>
      <c r="I33" s="137"/>
      <c r="J33" s="201"/>
      <c r="K33" s="50">
        <f t="shared" si="3"/>
        <v>0.4</v>
      </c>
      <c r="L33" s="50">
        <f t="shared" si="0"/>
        <v>0.2</v>
      </c>
      <c r="U33" s="232"/>
    </row>
    <row r="34" spans="1:22" x14ac:dyDescent="0.2">
      <c r="A34" s="200">
        <v>19</v>
      </c>
      <c r="B34" s="138" t="s">
        <v>156</v>
      </c>
      <c r="C34" s="137">
        <v>133.4</v>
      </c>
      <c r="D34" s="137">
        <v>0.3</v>
      </c>
      <c r="E34" s="152" t="s">
        <v>4</v>
      </c>
      <c r="F34" s="152" t="s">
        <v>3</v>
      </c>
      <c r="G34" s="139">
        <v>4</v>
      </c>
      <c r="H34" s="138">
        <f>C34*G34*(1-D34)</f>
        <v>373.52</v>
      </c>
      <c r="I34" s="138">
        <f>IF(F34=K$13,K34,IF(F34=L$13,L34,"-"))</f>
        <v>0.47899999999999998</v>
      </c>
      <c r="J34" s="201">
        <f t="shared" si="4"/>
        <v>178.91607999999999</v>
      </c>
      <c r="K34" s="50">
        <f t="shared" si="3"/>
        <v>0.47899999999999998</v>
      </c>
      <c r="L34" s="50">
        <f t="shared" si="0"/>
        <v>0.24</v>
      </c>
      <c r="U34" s="232" t="s">
        <v>321</v>
      </c>
      <c r="V34" s="50" t="s">
        <v>327</v>
      </c>
    </row>
    <row r="35" spans="1:22" ht="15.75" x14ac:dyDescent="0.2">
      <c r="A35" s="200"/>
      <c r="B35" s="193" t="s">
        <v>140</v>
      </c>
      <c r="C35" s="137"/>
      <c r="D35" s="137"/>
      <c r="E35" s="152"/>
      <c r="F35" s="152"/>
      <c r="G35" s="139"/>
      <c r="H35" s="137"/>
      <c r="I35" s="137"/>
      <c r="J35" s="201"/>
      <c r="K35" s="50">
        <f t="shared" si="3"/>
        <v>0.4</v>
      </c>
      <c r="L35" s="50">
        <f t="shared" si="0"/>
        <v>0.2</v>
      </c>
      <c r="U35" s="232"/>
    </row>
    <row r="36" spans="1:22" ht="25.5" x14ac:dyDescent="0.2">
      <c r="A36" s="200">
        <v>20</v>
      </c>
      <c r="B36" s="194" t="s">
        <v>220</v>
      </c>
      <c r="C36" s="137">
        <v>142</v>
      </c>
      <c r="D36" s="137">
        <v>0.3</v>
      </c>
      <c r="E36" s="158" t="s">
        <v>192</v>
      </c>
      <c r="F36" s="152" t="s">
        <v>3</v>
      </c>
      <c r="G36" s="139">
        <v>4</v>
      </c>
      <c r="H36" s="138">
        <f t="shared" ref="H36:H65" si="7">C36*G36*(1-D36)</f>
        <v>397.59999999999997</v>
      </c>
      <c r="I36" s="138">
        <f t="shared" ref="I36:I38" si="8">IF(F36=K$13,K36,IF(F36=L$13,L36,"-"))</f>
        <v>0.47899999999999998</v>
      </c>
      <c r="J36" s="201">
        <f t="shared" si="4"/>
        <v>190.45039999999997</v>
      </c>
      <c r="K36" s="50">
        <f t="shared" si="3"/>
        <v>0.47899999999999998</v>
      </c>
      <c r="L36" s="50">
        <f t="shared" si="0"/>
        <v>0.24</v>
      </c>
      <c r="U36" s="232" t="s">
        <v>321</v>
      </c>
      <c r="V36" s="50" t="s">
        <v>327</v>
      </c>
    </row>
    <row r="37" spans="1:22" x14ac:dyDescent="0.2">
      <c r="A37" s="200">
        <v>21</v>
      </c>
      <c r="B37" s="138" t="s">
        <v>204</v>
      </c>
      <c r="C37" s="137">
        <v>44.4</v>
      </c>
      <c r="D37" s="137">
        <v>0.5</v>
      </c>
      <c r="E37" s="158" t="s">
        <v>192</v>
      </c>
      <c r="F37" s="152" t="s">
        <v>3</v>
      </c>
      <c r="G37" s="139">
        <v>12</v>
      </c>
      <c r="H37" s="138">
        <f t="shared" si="7"/>
        <v>266.39999999999998</v>
      </c>
      <c r="I37" s="138">
        <f t="shared" si="8"/>
        <v>0.57399999999999995</v>
      </c>
      <c r="J37" s="201">
        <f t="shared" si="4"/>
        <v>152.91359999999997</v>
      </c>
      <c r="K37" s="50">
        <f t="shared" si="3"/>
        <v>0.57399999999999995</v>
      </c>
      <c r="L37" s="50">
        <f t="shared" si="0"/>
        <v>0.28799999999999998</v>
      </c>
      <c r="U37" s="232" t="s">
        <v>314</v>
      </c>
      <c r="V37" s="50" t="s">
        <v>327</v>
      </c>
    </row>
    <row r="38" spans="1:22" s="8" customFormat="1" x14ac:dyDescent="0.2">
      <c r="A38" s="200">
        <v>22</v>
      </c>
      <c r="B38" s="138" t="s">
        <v>204</v>
      </c>
      <c r="C38" s="137">
        <v>111.7</v>
      </c>
      <c r="D38" s="137">
        <v>0.4</v>
      </c>
      <c r="E38" s="152" t="s">
        <v>4</v>
      </c>
      <c r="F38" s="152" t="s">
        <v>3</v>
      </c>
      <c r="G38" s="139">
        <v>12</v>
      </c>
      <c r="H38" s="138">
        <f t="shared" si="7"/>
        <v>804.24</v>
      </c>
      <c r="I38" s="138">
        <f t="shared" si="8"/>
        <v>0.47899999999999998</v>
      </c>
      <c r="J38" s="201">
        <f t="shared" si="4"/>
        <v>385.23095999999998</v>
      </c>
      <c r="K38" s="50">
        <f t="shared" si="3"/>
        <v>0.47899999999999998</v>
      </c>
      <c r="L38" s="50">
        <f t="shared" si="0"/>
        <v>0.24</v>
      </c>
      <c r="U38" s="232" t="s">
        <v>321</v>
      </c>
      <c r="V38" s="50" t="s">
        <v>327</v>
      </c>
    </row>
    <row r="39" spans="1:22" ht="12.75" customHeight="1" x14ac:dyDescent="0.2">
      <c r="A39" s="200">
        <v>23</v>
      </c>
      <c r="B39" s="213" t="s">
        <v>353</v>
      </c>
      <c r="C39" s="6">
        <v>85.6</v>
      </c>
      <c r="D39" s="6">
        <v>0</v>
      </c>
      <c r="E39" s="249" t="s">
        <v>194</v>
      </c>
      <c r="F39" s="214" t="s">
        <v>3</v>
      </c>
      <c r="G39" s="215">
        <v>0.1</v>
      </c>
      <c r="H39" s="213">
        <f t="shared" si="7"/>
        <v>8.56</v>
      </c>
      <c r="I39" s="6">
        <v>4.43</v>
      </c>
      <c r="J39" s="216">
        <f t="shared" si="4"/>
        <v>37.9208</v>
      </c>
      <c r="K39" s="50">
        <f t="shared" si="3"/>
        <v>0.4</v>
      </c>
      <c r="L39" s="50">
        <f t="shared" si="0"/>
        <v>0.2</v>
      </c>
      <c r="U39" s="232" t="s">
        <v>319</v>
      </c>
      <c r="V39" s="1" t="s">
        <v>320</v>
      </c>
    </row>
    <row r="40" spans="1:22" ht="12.75" customHeight="1" x14ac:dyDescent="0.2">
      <c r="A40" s="200">
        <v>24</v>
      </c>
      <c r="B40" s="138" t="s">
        <v>206</v>
      </c>
      <c r="C40" s="137">
        <v>15</v>
      </c>
      <c r="D40" s="137">
        <v>0</v>
      </c>
      <c r="E40" s="152" t="s">
        <v>31</v>
      </c>
      <c r="F40" s="152" t="s">
        <v>3</v>
      </c>
      <c r="G40" s="139">
        <v>20</v>
      </c>
      <c r="H40" s="138">
        <f t="shared" si="7"/>
        <v>300</v>
      </c>
      <c r="I40" s="138">
        <f t="shared" ref="I40:I42" si="9">IF(F40=K$13,K40,IF(F40=L$13,L40,"-"))</f>
        <v>0.4</v>
      </c>
      <c r="J40" s="201">
        <f t="shared" si="4"/>
        <v>120</v>
      </c>
      <c r="K40" s="50">
        <f t="shared" si="3"/>
        <v>0.4</v>
      </c>
      <c r="L40" s="50">
        <f t="shared" si="0"/>
        <v>0.2</v>
      </c>
      <c r="U40" s="232" t="s">
        <v>317</v>
      </c>
      <c r="V40" s="50" t="s">
        <v>327</v>
      </c>
    </row>
    <row r="41" spans="1:22" ht="13.5" customHeight="1" x14ac:dyDescent="0.2">
      <c r="A41" s="200">
        <v>25</v>
      </c>
      <c r="B41" s="138" t="s">
        <v>157</v>
      </c>
      <c r="C41" s="137">
        <v>385</v>
      </c>
      <c r="D41" s="137">
        <v>0</v>
      </c>
      <c r="E41" s="152" t="s">
        <v>5</v>
      </c>
      <c r="F41" s="159" t="s">
        <v>34</v>
      </c>
      <c r="G41" s="139">
        <v>0.1</v>
      </c>
      <c r="H41" s="138">
        <f t="shared" si="7"/>
        <v>38.5</v>
      </c>
      <c r="I41" s="138">
        <f t="shared" si="9"/>
        <v>0.2</v>
      </c>
      <c r="J41" s="201">
        <f t="shared" si="4"/>
        <v>7.7</v>
      </c>
      <c r="K41" s="50">
        <f t="shared" si="3"/>
        <v>0.4</v>
      </c>
      <c r="L41" s="50">
        <f t="shared" si="0"/>
        <v>0.2</v>
      </c>
      <c r="U41" s="231" t="s">
        <v>313</v>
      </c>
      <c r="V41" s="50" t="s">
        <v>327</v>
      </c>
    </row>
    <row r="42" spans="1:22" ht="12.75" customHeight="1" x14ac:dyDescent="0.2">
      <c r="A42" s="200">
        <v>26</v>
      </c>
      <c r="B42" s="138" t="s">
        <v>17</v>
      </c>
      <c r="C42" s="137">
        <v>195</v>
      </c>
      <c r="D42" s="137">
        <v>0.2</v>
      </c>
      <c r="E42" s="158" t="s">
        <v>192</v>
      </c>
      <c r="F42" s="153" t="s">
        <v>3</v>
      </c>
      <c r="G42" s="139">
        <v>20</v>
      </c>
      <c r="H42" s="138">
        <f t="shared" si="7"/>
        <v>3120</v>
      </c>
      <c r="I42" s="138">
        <f t="shared" si="9"/>
        <v>0.4</v>
      </c>
      <c r="J42" s="201">
        <f t="shared" si="4"/>
        <v>1248</v>
      </c>
      <c r="K42" s="50">
        <f t="shared" si="3"/>
        <v>0.4</v>
      </c>
      <c r="L42" s="50">
        <f t="shared" si="0"/>
        <v>0.2</v>
      </c>
      <c r="U42" s="232" t="s">
        <v>317</v>
      </c>
      <c r="V42" s="50" t="s">
        <v>327</v>
      </c>
    </row>
    <row r="43" spans="1:22" ht="12.75" customHeight="1" x14ac:dyDescent="0.2">
      <c r="A43" s="200">
        <v>27</v>
      </c>
      <c r="B43" s="138" t="s">
        <v>354</v>
      </c>
      <c r="C43" s="137">
        <v>2</v>
      </c>
      <c r="D43" s="137">
        <v>0</v>
      </c>
      <c r="E43" s="158"/>
      <c r="F43" s="153" t="s">
        <v>3</v>
      </c>
      <c r="G43" s="139">
        <v>0.1</v>
      </c>
      <c r="H43" s="138">
        <f t="shared" si="7"/>
        <v>0.2</v>
      </c>
      <c r="I43" s="6">
        <v>3.51</v>
      </c>
      <c r="J43" s="201">
        <f t="shared" si="4"/>
        <v>0.70199999999999996</v>
      </c>
      <c r="K43" s="50">
        <f t="shared" si="3"/>
        <v>0.4</v>
      </c>
      <c r="L43" s="50">
        <f t="shared" si="0"/>
        <v>0.2</v>
      </c>
      <c r="U43" s="232" t="s">
        <v>326</v>
      </c>
      <c r="V43" s="1" t="s">
        <v>320</v>
      </c>
    </row>
    <row r="44" spans="1:22" ht="12.75" customHeight="1" x14ac:dyDescent="0.2">
      <c r="A44" s="200">
        <v>28</v>
      </c>
      <c r="B44" s="138" t="s">
        <v>355</v>
      </c>
      <c r="C44" s="137">
        <v>0.9</v>
      </c>
      <c r="D44" s="137">
        <v>0</v>
      </c>
      <c r="E44" s="158"/>
      <c r="F44" s="153" t="s">
        <v>3</v>
      </c>
      <c r="G44" s="139">
        <v>4</v>
      </c>
      <c r="H44" s="138">
        <f t="shared" si="7"/>
        <v>3.6</v>
      </c>
      <c r="I44" s="213">
        <v>1.1499999999999999</v>
      </c>
      <c r="J44" s="201">
        <f t="shared" si="4"/>
        <v>4.1399999999999997</v>
      </c>
      <c r="K44" s="50">
        <f t="shared" si="3"/>
        <v>0.4</v>
      </c>
      <c r="L44" s="50">
        <f t="shared" si="0"/>
        <v>0.2</v>
      </c>
      <c r="U44" s="232" t="s">
        <v>351</v>
      </c>
      <c r="V44" s="50" t="s">
        <v>327</v>
      </c>
    </row>
    <row r="45" spans="1:22" s="2" customFormat="1" ht="12.75" customHeight="1" x14ac:dyDescent="0.2">
      <c r="A45" s="200">
        <v>29</v>
      </c>
      <c r="B45" s="213" t="s">
        <v>356</v>
      </c>
      <c r="C45" s="6">
        <v>33</v>
      </c>
      <c r="D45" s="6">
        <v>0</v>
      </c>
      <c r="E45" s="249" t="s">
        <v>194</v>
      </c>
      <c r="F45" s="214" t="s">
        <v>3</v>
      </c>
      <c r="G45" s="215">
        <v>1</v>
      </c>
      <c r="H45" s="213">
        <f t="shared" si="7"/>
        <v>33</v>
      </c>
      <c r="I45" s="6">
        <v>1.7</v>
      </c>
      <c r="J45" s="216">
        <f t="shared" si="4"/>
        <v>56.1</v>
      </c>
      <c r="K45" s="140">
        <f t="shared" si="3"/>
        <v>0.4</v>
      </c>
      <c r="L45" s="140">
        <f t="shared" si="0"/>
        <v>0.2</v>
      </c>
      <c r="U45" s="233" t="s">
        <v>318</v>
      </c>
      <c r="V45" s="140" t="s">
        <v>327</v>
      </c>
    </row>
    <row r="46" spans="1:22" x14ac:dyDescent="0.2">
      <c r="A46" s="200">
        <v>30</v>
      </c>
      <c r="B46" s="138" t="s">
        <v>19</v>
      </c>
      <c r="C46" s="137">
        <v>49.7</v>
      </c>
      <c r="D46" s="137">
        <v>0</v>
      </c>
      <c r="E46" s="158" t="s">
        <v>192</v>
      </c>
      <c r="F46" s="152" t="s">
        <v>3</v>
      </c>
      <c r="G46" s="139">
        <v>20</v>
      </c>
      <c r="H46" s="138">
        <f t="shared" si="7"/>
        <v>994</v>
      </c>
      <c r="I46" s="138">
        <f t="shared" ref="I46:I65" si="10">IF(F46=K$13,K46,IF(F46=L$13,L46,"-"))</f>
        <v>0.4</v>
      </c>
      <c r="J46" s="201">
        <f t="shared" si="4"/>
        <v>397.6</v>
      </c>
      <c r="K46" s="50">
        <f t="shared" si="3"/>
        <v>0.4</v>
      </c>
      <c r="L46" s="50">
        <f t="shared" si="0"/>
        <v>0.2</v>
      </c>
      <c r="U46" s="232" t="s">
        <v>317</v>
      </c>
      <c r="V46" s="50" t="s">
        <v>327</v>
      </c>
    </row>
    <row r="47" spans="1:22" s="2" customFormat="1" x14ac:dyDescent="0.2">
      <c r="A47" s="200">
        <v>31</v>
      </c>
      <c r="B47" s="138" t="s">
        <v>279</v>
      </c>
      <c r="C47" s="137">
        <v>90</v>
      </c>
      <c r="D47" s="137">
        <v>0.4</v>
      </c>
      <c r="E47" s="158" t="s">
        <v>192</v>
      </c>
      <c r="F47" s="152" t="s">
        <v>3</v>
      </c>
      <c r="G47" s="139">
        <v>20</v>
      </c>
      <c r="H47" s="138">
        <f t="shared" si="7"/>
        <v>1080</v>
      </c>
      <c r="I47" s="138">
        <f t="shared" si="10"/>
        <v>0.47899999999999998</v>
      </c>
      <c r="J47" s="201">
        <f t="shared" si="4"/>
        <v>517.31999999999994</v>
      </c>
      <c r="K47" s="50">
        <f t="shared" si="3"/>
        <v>0.47899999999999998</v>
      </c>
      <c r="L47" s="50">
        <f t="shared" si="0"/>
        <v>0.24</v>
      </c>
      <c r="U47" s="232" t="s">
        <v>321</v>
      </c>
      <c r="V47" s="50" t="s">
        <v>327</v>
      </c>
    </row>
    <row r="48" spans="1:22" x14ac:dyDescent="0.2">
      <c r="A48" s="200">
        <v>32</v>
      </c>
      <c r="B48" s="138" t="s">
        <v>21</v>
      </c>
      <c r="C48" s="137">
        <v>129</v>
      </c>
      <c r="D48" s="137">
        <v>0.3</v>
      </c>
      <c r="E48" s="158" t="s">
        <v>192</v>
      </c>
      <c r="F48" s="152" t="s">
        <v>3</v>
      </c>
      <c r="G48" s="139">
        <v>4</v>
      </c>
      <c r="H48" s="138">
        <f t="shared" si="7"/>
        <v>361.2</v>
      </c>
      <c r="I48" s="138">
        <f t="shared" si="10"/>
        <v>0.47899999999999998</v>
      </c>
      <c r="J48" s="201">
        <f t="shared" si="4"/>
        <v>173.01479999999998</v>
      </c>
      <c r="K48" s="50">
        <f t="shared" si="3"/>
        <v>0.47899999999999998</v>
      </c>
      <c r="L48" s="50">
        <f t="shared" ref="L48:L78" si="11">IF(D48&gt;=O$11,IF(D48&lt;=O$12,O$14,0),0)+IF(D48&gt;=P$11,IF(D48&lt;=P$12,P$14,0),0)+IF(D48&gt;=Q$11,IF(D48&lt;=Q$12,Q$14,0),0)+IF(D48&gt;=R$11,IF(D48&lt;=R$12,R$14,0),0)</f>
        <v>0.24</v>
      </c>
      <c r="U48" s="232" t="s">
        <v>321</v>
      </c>
      <c r="V48" s="50" t="s">
        <v>327</v>
      </c>
    </row>
    <row r="49" spans="1:22" ht="25.5" x14ac:dyDescent="0.2">
      <c r="A49" s="200">
        <v>33</v>
      </c>
      <c r="B49" s="194" t="s">
        <v>352</v>
      </c>
      <c r="C49" s="137">
        <v>175</v>
      </c>
      <c r="D49" s="137">
        <v>0.2</v>
      </c>
      <c r="E49" s="158" t="s">
        <v>192</v>
      </c>
      <c r="F49" s="152" t="s">
        <v>3</v>
      </c>
      <c r="G49" s="139">
        <v>4</v>
      </c>
      <c r="H49" s="138">
        <f t="shared" si="7"/>
        <v>560</v>
      </c>
      <c r="I49" s="138">
        <f t="shared" si="10"/>
        <v>0.4</v>
      </c>
      <c r="J49" s="201">
        <f t="shared" si="4"/>
        <v>224</v>
      </c>
      <c r="K49" s="50">
        <f t="shared" si="3"/>
        <v>0.4</v>
      </c>
      <c r="L49" s="50">
        <f t="shared" si="11"/>
        <v>0.2</v>
      </c>
      <c r="U49" s="232" t="s">
        <v>317</v>
      </c>
      <c r="V49" s="50" t="s">
        <v>327</v>
      </c>
    </row>
    <row r="50" spans="1:22" s="2" customFormat="1" x14ac:dyDescent="0.2">
      <c r="A50" s="200">
        <v>34</v>
      </c>
      <c r="B50" s="138" t="s">
        <v>158</v>
      </c>
      <c r="C50" s="137">
        <v>169</v>
      </c>
      <c r="D50" s="137">
        <v>0.2</v>
      </c>
      <c r="E50" s="158" t="s">
        <v>192</v>
      </c>
      <c r="F50" s="152" t="s">
        <v>3</v>
      </c>
      <c r="G50" s="139">
        <v>8</v>
      </c>
      <c r="H50" s="138">
        <f t="shared" si="7"/>
        <v>1081.6000000000001</v>
      </c>
      <c r="I50" s="138">
        <f t="shared" si="10"/>
        <v>0.4</v>
      </c>
      <c r="J50" s="201">
        <f t="shared" si="4"/>
        <v>432.6400000000001</v>
      </c>
      <c r="K50" s="50">
        <f t="shared" si="3"/>
        <v>0.4</v>
      </c>
      <c r="L50" s="50">
        <f t="shared" si="11"/>
        <v>0.2</v>
      </c>
      <c r="U50" s="232" t="s">
        <v>317</v>
      </c>
      <c r="V50" s="50" t="s">
        <v>327</v>
      </c>
    </row>
    <row r="51" spans="1:22" x14ac:dyDescent="0.2">
      <c r="A51" s="200">
        <v>35</v>
      </c>
      <c r="B51" s="138" t="s">
        <v>159</v>
      </c>
      <c r="C51" s="137">
        <v>75</v>
      </c>
      <c r="D51" s="137">
        <v>0</v>
      </c>
      <c r="E51" s="158" t="s">
        <v>192</v>
      </c>
      <c r="F51" s="152" t="s">
        <v>3</v>
      </c>
      <c r="G51" s="139">
        <v>2</v>
      </c>
      <c r="H51" s="138">
        <f t="shared" si="7"/>
        <v>150</v>
      </c>
      <c r="I51" s="138">
        <f t="shared" si="10"/>
        <v>0.4</v>
      </c>
      <c r="J51" s="201">
        <f t="shared" si="4"/>
        <v>60</v>
      </c>
      <c r="K51" s="50">
        <f t="shared" si="3"/>
        <v>0.4</v>
      </c>
      <c r="L51" s="50">
        <f t="shared" si="11"/>
        <v>0.2</v>
      </c>
      <c r="U51" s="232" t="s">
        <v>317</v>
      </c>
      <c r="V51" s="50" t="s">
        <v>327</v>
      </c>
    </row>
    <row r="52" spans="1:22" s="114" customFormat="1" ht="28.5" customHeight="1" x14ac:dyDescent="0.2">
      <c r="A52" s="200">
        <v>36</v>
      </c>
      <c r="B52" s="250" t="s">
        <v>221</v>
      </c>
      <c r="C52" s="251">
        <v>49.7</v>
      </c>
      <c r="D52" s="251">
        <v>0.1</v>
      </c>
      <c r="E52" s="168" t="s">
        <v>192</v>
      </c>
      <c r="F52" s="168" t="s">
        <v>3</v>
      </c>
      <c r="G52" s="252">
        <v>2</v>
      </c>
      <c r="H52" s="251">
        <f t="shared" si="7"/>
        <v>89.460000000000008</v>
      </c>
      <c r="I52" s="251">
        <f t="shared" si="10"/>
        <v>0.4</v>
      </c>
      <c r="J52" s="253">
        <f t="shared" si="4"/>
        <v>35.784000000000006</v>
      </c>
      <c r="K52" s="114">
        <f t="shared" si="3"/>
        <v>0.4</v>
      </c>
      <c r="L52" s="114">
        <f t="shared" si="11"/>
        <v>0.2</v>
      </c>
      <c r="U52" s="254" t="s">
        <v>317</v>
      </c>
      <c r="V52" s="114" t="s">
        <v>327</v>
      </c>
    </row>
    <row r="53" spans="1:22" x14ac:dyDescent="0.2">
      <c r="A53" s="200">
        <v>37</v>
      </c>
      <c r="B53" s="138" t="s">
        <v>280</v>
      </c>
      <c r="C53" s="137">
        <v>150</v>
      </c>
      <c r="D53" s="137">
        <v>0.5</v>
      </c>
      <c r="E53" s="158" t="s">
        <v>192</v>
      </c>
      <c r="F53" s="152" t="s">
        <v>3</v>
      </c>
      <c r="G53" s="139">
        <v>2</v>
      </c>
      <c r="H53" s="138">
        <f t="shared" si="7"/>
        <v>150</v>
      </c>
      <c r="I53" s="138">
        <f t="shared" si="10"/>
        <v>0.57399999999999995</v>
      </c>
      <c r="J53" s="201">
        <f t="shared" si="4"/>
        <v>86.1</v>
      </c>
      <c r="K53" s="50">
        <f t="shared" si="3"/>
        <v>0.57399999999999995</v>
      </c>
      <c r="L53" s="50">
        <f t="shared" si="11"/>
        <v>0.28799999999999998</v>
      </c>
      <c r="U53" s="232" t="s">
        <v>314</v>
      </c>
      <c r="V53" s="50" t="s">
        <v>327</v>
      </c>
    </row>
    <row r="54" spans="1:22" x14ac:dyDescent="0.2">
      <c r="A54" s="200">
        <v>38</v>
      </c>
      <c r="B54" s="138" t="s">
        <v>281</v>
      </c>
      <c r="C54" s="137">
        <v>49.7</v>
      </c>
      <c r="D54" s="137">
        <v>0.3</v>
      </c>
      <c r="E54" s="158" t="s">
        <v>192</v>
      </c>
      <c r="F54" s="152" t="s">
        <v>3</v>
      </c>
      <c r="G54" s="139">
        <v>4</v>
      </c>
      <c r="H54" s="138">
        <f t="shared" si="7"/>
        <v>139.16</v>
      </c>
      <c r="I54" s="138">
        <f t="shared" si="10"/>
        <v>0.47899999999999998</v>
      </c>
      <c r="J54" s="201">
        <f t="shared" si="4"/>
        <v>66.657640000000001</v>
      </c>
      <c r="K54" s="50">
        <f t="shared" si="3"/>
        <v>0.47899999999999998</v>
      </c>
      <c r="L54" s="50">
        <f t="shared" si="11"/>
        <v>0.24</v>
      </c>
      <c r="U54" s="232" t="s">
        <v>321</v>
      </c>
      <c r="V54" s="50" t="s">
        <v>327</v>
      </c>
    </row>
    <row r="55" spans="1:22" x14ac:dyDescent="0.2">
      <c r="A55" s="200">
        <v>39</v>
      </c>
      <c r="B55" s="138" t="s">
        <v>222</v>
      </c>
      <c r="C55" s="137">
        <v>75.5</v>
      </c>
      <c r="D55" s="137">
        <v>0.2</v>
      </c>
      <c r="E55" s="158" t="s">
        <v>192</v>
      </c>
      <c r="F55" s="153" t="s">
        <v>3</v>
      </c>
      <c r="G55" s="139">
        <v>2</v>
      </c>
      <c r="H55" s="138">
        <f t="shared" si="7"/>
        <v>120.80000000000001</v>
      </c>
      <c r="I55" s="138">
        <f t="shared" si="10"/>
        <v>0.4</v>
      </c>
      <c r="J55" s="201">
        <f t="shared" si="4"/>
        <v>48.320000000000007</v>
      </c>
      <c r="K55" s="50">
        <f t="shared" si="3"/>
        <v>0.4</v>
      </c>
      <c r="L55" s="50">
        <f t="shared" si="11"/>
        <v>0.2</v>
      </c>
      <c r="U55" s="232" t="s">
        <v>317</v>
      </c>
      <c r="V55" s="50" t="s">
        <v>327</v>
      </c>
    </row>
    <row r="56" spans="1:22" x14ac:dyDescent="0.2">
      <c r="A56" s="200">
        <v>40</v>
      </c>
      <c r="B56" s="138" t="s">
        <v>223</v>
      </c>
      <c r="C56" s="137">
        <v>58.1</v>
      </c>
      <c r="D56" s="137">
        <v>0.2</v>
      </c>
      <c r="E56" s="158" t="s">
        <v>192</v>
      </c>
      <c r="F56" s="153" t="s">
        <v>3</v>
      </c>
      <c r="G56" s="139">
        <v>8</v>
      </c>
      <c r="H56" s="138">
        <f t="shared" si="7"/>
        <v>371.84000000000003</v>
      </c>
      <c r="I56" s="138">
        <f t="shared" si="10"/>
        <v>0.4</v>
      </c>
      <c r="J56" s="201">
        <f t="shared" si="4"/>
        <v>148.73600000000002</v>
      </c>
      <c r="K56" s="50">
        <f t="shared" si="3"/>
        <v>0.4</v>
      </c>
      <c r="L56" s="50">
        <f t="shared" si="11"/>
        <v>0.2</v>
      </c>
      <c r="U56" s="232" t="s">
        <v>317</v>
      </c>
      <c r="V56" s="50" t="s">
        <v>327</v>
      </c>
    </row>
    <row r="57" spans="1:22" x14ac:dyDescent="0.2">
      <c r="A57" s="200">
        <v>41</v>
      </c>
      <c r="B57" s="138" t="s">
        <v>403</v>
      </c>
      <c r="C57" s="137">
        <v>38.9</v>
      </c>
      <c r="D57" s="137">
        <v>0.3</v>
      </c>
      <c r="E57" s="158" t="s">
        <v>192</v>
      </c>
      <c r="F57" s="153" t="s">
        <v>3</v>
      </c>
      <c r="G57" s="139">
        <v>8</v>
      </c>
      <c r="H57" s="138">
        <f t="shared" si="7"/>
        <v>217.83999999999997</v>
      </c>
      <c r="I57" s="138">
        <f t="shared" si="10"/>
        <v>0.47899999999999998</v>
      </c>
      <c r="J57" s="201">
        <f t="shared" si="4"/>
        <v>104.34535999999999</v>
      </c>
      <c r="K57" s="50">
        <f t="shared" si="3"/>
        <v>0.47899999999999998</v>
      </c>
      <c r="L57" s="50">
        <f t="shared" si="11"/>
        <v>0.24</v>
      </c>
      <c r="U57" s="232" t="s">
        <v>321</v>
      </c>
      <c r="V57" s="50" t="s">
        <v>327</v>
      </c>
    </row>
    <row r="58" spans="1:22" x14ac:dyDescent="0.2">
      <c r="A58" s="200">
        <v>42</v>
      </c>
      <c r="B58" s="138" t="s">
        <v>23</v>
      </c>
      <c r="C58" s="137">
        <v>67</v>
      </c>
      <c r="D58" s="137">
        <v>0</v>
      </c>
      <c r="E58" s="152" t="s">
        <v>172</v>
      </c>
      <c r="F58" s="152" t="s">
        <v>3</v>
      </c>
      <c r="G58" s="139">
        <v>20</v>
      </c>
      <c r="H58" s="138">
        <f t="shared" si="7"/>
        <v>1340</v>
      </c>
      <c r="I58" s="138">
        <f t="shared" si="10"/>
        <v>0.4</v>
      </c>
      <c r="J58" s="201">
        <f t="shared" si="4"/>
        <v>536</v>
      </c>
      <c r="K58" s="50">
        <f t="shared" si="3"/>
        <v>0.4</v>
      </c>
      <c r="L58" s="50">
        <f t="shared" si="11"/>
        <v>0.2</v>
      </c>
      <c r="U58" s="232" t="s">
        <v>317</v>
      </c>
      <c r="V58" s="50" t="s">
        <v>327</v>
      </c>
    </row>
    <row r="59" spans="1:22" ht="13.5" customHeight="1" x14ac:dyDescent="0.2">
      <c r="A59" s="200">
        <v>43</v>
      </c>
      <c r="B59" s="138" t="s">
        <v>147</v>
      </c>
      <c r="C59" s="137">
        <v>139.30000000000001</v>
      </c>
      <c r="D59" s="137">
        <v>0.1</v>
      </c>
      <c r="E59" s="152" t="s">
        <v>173</v>
      </c>
      <c r="F59" s="152" t="s">
        <v>3</v>
      </c>
      <c r="G59" s="139">
        <v>1</v>
      </c>
      <c r="H59" s="138">
        <f t="shared" si="7"/>
        <v>125.37000000000002</v>
      </c>
      <c r="I59" s="138">
        <f t="shared" si="10"/>
        <v>0.4</v>
      </c>
      <c r="J59" s="201">
        <f t="shared" si="4"/>
        <v>50.14800000000001</v>
      </c>
      <c r="K59" s="50">
        <f t="shared" si="3"/>
        <v>0.4</v>
      </c>
      <c r="L59" s="50">
        <f t="shared" si="11"/>
        <v>0.2</v>
      </c>
      <c r="U59" s="232" t="s">
        <v>317</v>
      </c>
      <c r="V59" s="50" t="s">
        <v>327</v>
      </c>
    </row>
    <row r="60" spans="1:22" x14ac:dyDescent="0.2">
      <c r="A60" s="200">
        <v>44</v>
      </c>
      <c r="B60" s="138" t="s">
        <v>146</v>
      </c>
      <c r="C60" s="137">
        <v>300</v>
      </c>
      <c r="D60" s="137">
        <v>0.2</v>
      </c>
      <c r="E60" s="152" t="s">
        <v>5</v>
      </c>
      <c r="F60" s="152" t="s">
        <v>3</v>
      </c>
      <c r="G60" s="139">
        <v>1</v>
      </c>
      <c r="H60" s="138">
        <f t="shared" si="7"/>
        <v>240</v>
      </c>
      <c r="I60" s="138">
        <f t="shared" si="10"/>
        <v>0.4</v>
      </c>
      <c r="J60" s="201">
        <f t="shared" si="4"/>
        <v>96</v>
      </c>
      <c r="K60" s="50">
        <f t="shared" si="3"/>
        <v>0.4</v>
      </c>
      <c r="L60" s="50">
        <f t="shared" si="11"/>
        <v>0.2</v>
      </c>
      <c r="U60" s="232" t="s">
        <v>317</v>
      </c>
      <c r="V60" s="50" t="s">
        <v>327</v>
      </c>
    </row>
    <row r="61" spans="1:22" x14ac:dyDescent="0.2">
      <c r="A61" s="200">
        <v>45</v>
      </c>
      <c r="B61" s="138" t="s">
        <v>24</v>
      </c>
      <c r="C61" s="137">
        <v>52.8</v>
      </c>
      <c r="D61" s="137">
        <v>0.3</v>
      </c>
      <c r="E61" s="158" t="s">
        <v>192</v>
      </c>
      <c r="F61" s="152" t="s">
        <v>3</v>
      </c>
      <c r="G61" s="139">
        <v>8</v>
      </c>
      <c r="H61" s="138">
        <f t="shared" si="7"/>
        <v>295.67999999999995</v>
      </c>
      <c r="I61" s="138">
        <f t="shared" si="10"/>
        <v>0.47899999999999998</v>
      </c>
      <c r="J61" s="201">
        <f t="shared" si="4"/>
        <v>141.63071999999997</v>
      </c>
      <c r="K61" s="50">
        <f t="shared" si="3"/>
        <v>0.47899999999999998</v>
      </c>
      <c r="L61" s="50">
        <f t="shared" si="11"/>
        <v>0.24</v>
      </c>
      <c r="U61" s="232" t="s">
        <v>321</v>
      </c>
      <c r="V61" s="50" t="s">
        <v>327</v>
      </c>
    </row>
    <row r="62" spans="1:22" x14ac:dyDescent="0.2">
      <c r="A62" s="200">
        <v>46</v>
      </c>
      <c r="B62" s="138" t="s">
        <v>25</v>
      </c>
      <c r="C62" s="137">
        <v>471</v>
      </c>
      <c r="D62" s="137">
        <v>0.1</v>
      </c>
      <c r="E62" s="152" t="s">
        <v>5</v>
      </c>
      <c r="F62" s="153" t="s">
        <v>3</v>
      </c>
      <c r="G62" s="139">
        <v>2</v>
      </c>
      <c r="H62" s="138">
        <f t="shared" si="7"/>
        <v>847.80000000000007</v>
      </c>
      <c r="I62" s="138">
        <f t="shared" si="10"/>
        <v>0.4</v>
      </c>
      <c r="J62" s="201">
        <f t="shared" si="4"/>
        <v>339.12000000000006</v>
      </c>
      <c r="K62" s="50">
        <f t="shared" si="3"/>
        <v>0.4</v>
      </c>
      <c r="L62" s="50">
        <f t="shared" si="11"/>
        <v>0.2</v>
      </c>
      <c r="U62" s="232" t="s">
        <v>317</v>
      </c>
      <c r="V62" s="50" t="s">
        <v>327</v>
      </c>
    </row>
    <row r="63" spans="1:22" x14ac:dyDescent="0.2">
      <c r="A63" s="200">
        <v>47</v>
      </c>
      <c r="B63" s="138" t="s">
        <v>360</v>
      </c>
      <c r="C63" s="137">
        <v>541.29999999999995</v>
      </c>
      <c r="D63" s="137">
        <v>0</v>
      </c>
      <c r="E63" s="152" t="s">
        <v>57</v>
      </c>
      <c r="F63" s="159" t="s">
        <v>34</v>
      </c>
      <c r="G63" s="139">
        <v>8</v>
      </c>
      <c r="H63" s="138">
        <f t="shared" si="7"/>
        <v>4330.3999999999996</v>
      </c>
      <c r="I63" s="138">
        <f t="shared" si="10"/>
        <v>0.2</v>
      </c>
      <c r="J63" s="201">
        <f t="shared" si="4"/>
        <v>866.07999999999993</v>
      </c>
      <c r="K63" s="50">
        <f t="shared" si="3"/>
        <v>0.4</v>
      </c>
      <c r="L63" s="50">
        <f t="shared" si="11"/>
        <v>0.2</v>
      </c>
      <c r="U63" s="231" t="s">
        <v>313</v>
      </c>
      <c r="V63" s="50" t="s">
        <v>327</v>
      </c>
    </row>
    <row r="64" spans="1:22" x14ac:dyDescent="0.2">
      <c r="A64" s="200">
        <v>48</v>
      </c>
      <c r="B64" s="138" t="s">
        <v>360</v>
      </c>
      <c r="C64" s="137">
        <v>541.29999999999995</v>
      </c>
      <c r="D64" s="137">
        <v>0</v>
      </c>
      <c r="E64" s="152" t="s">
        <v>57</v>
      </c>
      <c r="F64" s="153" t="s">
        <v>3</v>
      </c>
      <c r="G64" s="139">
        <v>4</v>
      </c>
      <c r="H64" s="138">
        <f t="shared" si="7"/>
        <v>2165.1999999999998</v>
      </c>
      <c r="I64" s="138">
        <f t="shared" si="10"/>
        <v>0.4</v>
      </c>
      <c r="J64" s="201">
        <f>H64*I64</f>
        <v>866.07999999999993</v>
      </c>
      <c r="K64" s="50">
        <f t="shared" si="3"/>
        <v>0.4</v>
      </c>
      <c r="L64" s="50">
        <f t="shared" si="11"/>
        <v>0.2</v>
      </c>
      <c r="U64" s="232" t="s">
        <v>317</v>
      </c>
      <c r="V64" s="50" t="s">
        <v>327</v>
      </c>
    </row>
    <row r="65" spans="1:22" x14ac:dyDescent="0.2">
      <c r="A65" s="200">
        <v>49</v>
      </c>
      <c r="B65" s="138" t="s">
        <v>145</v>
      </c>
      <c r="C65" s="137">
        <v>478.2</v>
      </c>
      <c r="D65" s="137">
        <v>0.5</v>
      </c>
      <c r="E65" s="152" t="s">
        <v>5</v>
      </c>
      <c r="F65" s="153" t="s">
        <v>3</v>
      </c>
      <c r="G65" s="139">
        <v>0.5</v>
      </c>
      <c r="H65" s="138">
        <f t="shared" si="7"/>
        <v>119.55</v>
      </c>
      <c r="I65" s="138">
        <f t="shared" si="10"/>
        <v>0.57399999999999995</v>
      </c>
      <c r="J65" s="201">
        <f t="shared" si="4"/>
        <v>68.62169999999999</v>
      </c>
      <c r="K65" s="50">
        <f t="shared" si="3"/>
        <v>0.57399999999999995</v>
      </c>
      <c r="L65" s="50">
        <f t="shared" si="11"/>
        <v>0.28799999999999998</v>
      </c>
      <c r="U65" s="232" t="s">
        <v>316</v>
      </c>
      <c r="V65" s="50" t="s">
        <v>327</v>
      </c>
    </row>
    <row r="66" spans="1:22" ht="15.75" x14ac:dyDescent="0.2">
      <c r="A66" s="200"/>
      <c r="B66" s="192" t="s">
        <v>26</v>
      </c>
      <c r="C66" s="137"/>
      <c r="D66" s="137"/>
      <c r="E66" s="152"/>
      <c r="F66" s="152"/>
      <c r="G66" s="139"/>
      <c r="H66" s="137"/>
      <c r="I66" s="137"/>
      <c r="J66" s="201"/>
      <c r="K66" s="50">
        <f t="shared" si="3"/>
        <v>0.4</v>
      </c>
      <c r="L66" s="50">
        <f t="shared" si="11"/>
        <v>0.2</v>
      </c>
      <c r="U66" s="232"/>
    </row>
    <row r="67" spans="1:22" ht="13.5" customHeight="1" x14ac:dyDescent="0.2">
      <c r="A67" s="200">
        <v>50</v>
      </c>
      <c r="B67" s="138" t="s">
        <v>160</v>
      </c>
      <c r="C67" s="137">
        <v>895</v>
      </c>
      <c r="D67" s="137">
        <v>0.1</v>
      </c>
      <c r="E67" s="152" t="s">
        <v>59</v>
      </c>
      <c r="F67" s="159" t="s">
        <v>34</v>
      </c>
      <c r="G67" s="139">
        <v>0.1</v>
      </c>
      <c r="H67" s="138">
        <f t="shared" ref="H67:H103" si="12">C67*G67*(1-D67)</f>
        <v>80.55</v>
      </c>
      <c r="I67" s="138">
        <f t="shared" ref="I67:I77" si="13">IF(F67=K$13,K67,IF(F67=L$13,L67,"-"))</f>
        <v>0.2</v>
      </c>
      <c r="J67" s="201">
        <f t="shared" si="4"/>
        <v>16.11</v>
      </c>
      <c r="K67" s="50">
        <f t="shared" si="3"/>
        <v>0.4</v>
      </c>
      <c r="L67" s="50">
        <f t="shared" si="11"/>
        <v>0.2</v>
      </c>
      <c r="U67" s="231" t="s">
        <v>313</v>
      </c>
      <c r="V67" s="50" t="s">
        <v>327</v>
      </c>
    </row>
    <row r="68" spans="1:22" ht="13.5" customHeight="1" x14ac:dyDescent="0.2">
      <c r="A68" s="200">
        <v>51</v>
      </c>
      <c r="B68" s="138" t="s">
        <v>300</v>
      </c>
      <c r="C68" s="137">
        <v>187.6</v>
      </c>
      <c r="D68" s="137">
        <v>0</v>
      </c>
      <c r="E68" s="152" t="s">
        <v>59</v>
      </c>
      <c r="F68" s="159" t="s">
        <v>34</v>
      </c>
      <c r="G68" s="139">
        <v>0.5</v>
      </c>
      <c r="H68" s="138">
        <f t="shared" si="12"/>
        <v>93.8</v>
      </c>
      <c r="I68" s="138">
        <f t="shared" si="13"/>
        <v>0.2</v>
      </c>
      <c r="J68" s="201">
        <f t="shared" si="4"/>
        <v>18.760000000000002</v>
      </c>
      <c r="K68" s="50">
        <f t="shared" si="3"/>
        <v>0.4</v>
      </c>
      <c r="L68" s="50">
        <f t="shared" si="11"/>
        <v>0.2</v>
      </c>
      <c r="U68" s="231" t="s">
        <v>313</v>
      </c>
      <c r="V68" s="50" t="s">
        <v>327</v>
      </c>
    </row>
    <row r="69" spans="1:22" ht="13.5" customHeight="1" x14ac:dyDescent="0.2">
      <c r="A69" s="200">
        <v>52</v>
      </c>
      <c r="B69" s="138" t="s">
        <v>301</v>
      </c>
      <c r="C69" s="137">
        <v>232.2</v>
      </c>
      <c r="D69" s="137">
        <v>0</v>
      </c>
      <c r="E69" s="152" t="s">
        <v>59</v>
      </c>
      <c r="F69" s="159" t="s">
        <v>34</v>
      </c>
      <c r="G69" s="139">
        <v>0.5</v>
      </c>
      <c r="H69" s="138">
        <f t="shared" si="12"/>
        <v>116.1</v>
      </c>
      <c r="I69" s="138">
        <f t="shared" si="13"/>
        <v>0.2</v>
      </c>
      <c r="J69" s="201">
        <f t="shared" si="4"/>
        <v>23.22</v>
      </c>
      <c r="K69" s="50">
        <f t="shared" si="3"/>
        <v>0.4</v>
      </c>
      <c r="L69" s="50">
        <f t="shared" si="11"/>
        <v>0.2</v>
      </c>
      <c r="U69" s="231" t="s">
        <v>313</v>
      </c>
      <c r="V69" s="50" t="s">
        <v>327</v>
      </c>
    </row>
    <row r="70" spans="1:22" ht="13.5" customHeight="1" x14ac:dyDescent="0.2">
      <c r="A70" s="200">
        <v>53</v>
      </c>
      <c r="B70" s="138" t="s">
        <v>302</v>
      </c>
      <c r="C70" s="137">
        <v>242.2</v>
      </c>
      <c r="D70" s="137">
        <v>0</v>
      </c>
      <c r="E70" s="152" t="s">
        <v>59</v>
      </c>
      <c r="F70" s="159" t="s">
        <v>34</v>
      </c>
      <c r="G70" s="139">
        <v>0.5</v>
      </c>
      <c r="H70" s="138">
        <f t="shared" si="12"/>
        <v>121.1</v>
      </c>
      <c r="I70" s="138">
        <f t="shared" si="13"/>
        <v>0.2</v>
      </c>
      <c r="J70" s="201">
        <f t="shared" si="4"/>
        <v>24.22</v>
      </c>
      <c r="K70" s="50">
        <f t="shared" si="3"/>
        <v>0.4</v>
      </c>
      <c r="L70" s="50">
        <f t="shared" si="11"/>
        <v>0.2</v>
      </c>
      <c r="U70" s="231" t="s">
        <v>313</v>
      </c>
      <c r="V70" s="50" t="s">
        <v>327</v>
      </c>
    </row>
    <row r="71" spans="1:22" ht="13.5" customHeight="1" x14ac:dyDescent="0.2">
      <c r="A71" s="200">
        <v>54</v>
      </c>
      <c r="B71" s="138" t="s">
        <v>303</v>
      </c>
      <c r="C71" s="137">
        <v>237.2</v>
      </c>
      <c r="D71" s="137">
        <v>0</v>
      </c>
      <c r="E71" s="152" t="s">
        <v>5</v>
      </c>
      <c r="F71" s="159" t="s">
        <v>34</v>
      </c>
      <c r="G71" s="139">
        <v>0.5</v>
      </c>
      <c r="H71" s="138">
        <f t="shared" si="12"/>
        <v>118.6</v>
      </c>
      <c r="I71" s="138">
        <f t="shared" si="13"/>
        <v>0.2</v>
      </c>
      <c r="J71" s="201">
        <f t="shared" si="4"/>
        <v>23.72</v>
      </c>
      <c r="K71" s="50">
        <f t="shared" ref="K71:K135" si="14">IF(D71&gt;=O$11,IF(D71&lt;=O$12,O$13,0),0)+IF(D71&gt;=P$11,IF(D71&lt;=P$12,P$13,0),0)+IF(D71&gt;=Q$11,IF(D71&lt;=Q$12,Q$13,0),0)+IF(D71&gt;=R$11,IF(D71&lt;=R$12,R$13,0),0)</f>
        <v>0.4</v>
      </c>
      <c r="L71" s="50">
        <f t="shared" si="11"/>
        <v>0.2</v>
      </c>
      <c r="U71" s="231" t="s">
        <v>313</v>
      </c>
      <c r="V71" s="50" t="s">
        <v>327</v>
      </c>
    </row>
    <row r="72" spans="1:22" x14ac:dyDescent="0.2">
      <c r="A72" s="200">
        <v>55</v>
      </c>
      <c r="B72" s="138" t="s">
        <v>361</v>
      </c>
      <c r="C72" s="137">
        <v>890</v>
      </c>
      <c r="D72" s="137">
        <v>0</v>
      </c>
      <c r="E72" s="152" t="s">
        <v>5</v>
      </c>
      <c r="F72" s="152" t="s">
        <v>3</v>
      </c>
      <c r="G72" s="139">
        <v>1</v>
      </c>
      <c r="H72" s="138">
        <f t="shared" si="12"/>
        <v>890</v>
      </c>
      <c r="I72" s="138">
        <f t="shared" si="13"/>
        <v>0.4</v>
      </c>
      <c r="J72" s="201">
        <f t="shared" si="4"/>
        <v>356</v>
      </c>
      <c r="K72" s="50">
        <f t="shared" si="14"/>
        <v>0.4</v>
      </c>
      <c r="L72" s="50">
        <f t="shared" si="11"/>
        <v>0.2</v>
      </c>
      <c r="U72" s="232" t="s">
        <v>317</v>
      </c>
      <c r="V72" s="50" t="s">
        <v>327</v>
      </c>
    </row>
    <row r="73" spans="1:22" x14ac:dyDescent="0.2">
      <c r="A73" s="200">
        <v>56</v>
      </c>
      <c r="B73" s="138" t="s">
        <v>361</v>
      </c>
      <c r="C73" s="137">
        <v>890</v>
      </c>
      <c r="D73" s="137">
        <v>0</v>
      </c>
      <c r="E73" s="152"/>
      <c r="F73" s="159" t="s">
        <v>34</v>
      </c>
      <c r="G73" s="139">
        <v>1</v>
      </c>
      <c r="H73" s="138">
        <f t="shared" si="12"/>
        <v>890</v>
      </c>
      <c r="I73" s="138">
        <f t="shared" si="13"/>
        <v>0.2</v>
      </c>
      <c r="J73" s="201">
        <f t="shared" si="4"/>
        <v>178</v>
      </c>
      <c r="K73" s="50">
        <f t="shared" si="14"/>
        <v>0.4</v>
      </c>
      <c r="L73" s="50">
        <f t="shared" si="11"/>
        <v>0.2</v>
      </c>
      <c r="U73" s="231" t="s">
        <v>313</v>
      </c>
      <c r="V73" s="50" t="s">
        <v>327</v>
      </c>
    </row>
    <row r="74" spans="1:22" x14ac:dyDescent="0.2">
      <c r="A74" s="200">
        <v>57</v>
      </c>
      <c r="B74" s="138" t="s">
        <v>161</v>
      </c>
      <c r="C74" s="137">
        <v>850.9</v>
      </c>
      <c r="D74" s="137">
        <v>0.1</v>
      </c>
      <c r="E74" s="152" t="s">
        <v>60</v>
      </c>
      <c r="F74" s="152" t="s">
        <v>3</v>
      </c>
      <c r="G74" s="139">
        <v>1</v>
      </c>
      <c r="H74" s="138">
        <f t="shared" si="12"/>
        <v>765.81</v>
      </c>
      <c r="I74" s="138">
        <f t="shared" si="13"/>
        <v>0.4</v>
      </c>
      <c r="J74" s="201">
        <f t="shared" si="4"/>
        <v>306.32400000000001</v>
      </c>
      <c r="K74" s="50">
        <f t="shared" si="14"/>
        <v>0.4</v>
      </c>
      <c r="L74" s="50">
        <f t="shared" si="11"/>
        <v>0.2</v>
      </c>
      <c r="U74" s="232" t="s">
        <v>317</v>
      </c>
      <c r="V74" s="50" t="s">
        <v>327</v>
      </c>
    </row>
    <row r="75" spans="1:22" x14ac:dyDescent="0.2">
      <c r="A75" s="200">
        <v>58</v>
      </c>
      <c r="B75" s="138" t="s">
        <v>162</v>
      </c>
      <c r="C75" s="137">
        <v>497.9</v>
      </c>
      <c r="D75" s="137">
        <v>0</v>
      </c>
      <c r="E75" s="152" t="s">
        <v>60</v>
      </c>
      <c r="F75" s="152" t="s">
        <v>3</v>
      </c>
      <c r="G75" s="139">
        <v>1</v>
      </c>
      <c r="H75" s="138">
        <f t="shared" si="12"/>
        <v>497.9</v>
      </c>
      <c r="I75" s="138">
        <f t="shared" si="13"/>
        <v>0.4</v>
      </c>
      <c r="J75" s="201">
        <f t="shared" ref="J75:J134" si="15">H75*I75</f>
        <v>199.16</v>
      </c>
      <c r="K75" s="50">
        <f t="shared" si="14"/>
        <v>0.4</v>
      </c>
      <c r="L75" s="50">
        <f t="shared" si="11"/>
        <v>0.2</v>
      </c>
      <c r="U75" s="232" t="s">
        <v>317</v>
      </c>
      <c r="V75" s="50" t="s">
        <v>327</v>
      </c>
    </row>
    <row r="76" spans="1:22" x14ac:dyDescent="0.2">
      <c r="A76" s="200">
        <v>59</v>
      </c>
      <c r="B76" s="138" t="s">
        <v>28</v>
      </c>
      <c r="C76" s="137">
        <v>70</v>
      </c>
      <c r="D76" s="137">
        <v>0</v>
      </c>
      <c r="E76" s="152" t="s">
        <v>60</v>
      </c>
      <c r="F76" s="152" t="s">
        <v>3</v>
      </c>
      <c r="G76" s="139">
        <v>2</v>
      </c>
      <c r="H76" s="138">
        <f t="shared" si="12"/>
        <v>140</v>
      </c>
      <c r="I76" s="138">
        <f t="shared" si="13"/>
        <v>0.4</v>
      </c>
      <c r="J76" s="201">
        <f t="shared" si="15"/>
        <v>56</v>
      </c>
      <c r="K76" s="50">
        <f t="shared" si="14"/>
        <v>0.4</v>
      </c>
      <c r="L76" s="50">
        <f t="shared" si="11"/>
        <v>0.2</v>
      </c>
      <c r="U76" s="232" t="s">
        <v>317</v>
      </c>
      <c r="V76" s="50" t="s">
        <v>327</v>
      </c>
    </row>
    <row r="77" spans="1:22" x14ac:dyDescent="0.2">
      <c r="A77" s="200">
        <v>60</v>
      </c>
      <c r="B77" s="138" t="s">
        <v>29</v>
      </c>
      <c r="C77" s="137">
        <v>2651</v>
      </c>
      <c r="D77" s="137">
        <v>0.3</v>
      </c>
      <c r="E77" s="158" t="s">
        <v>192</v>
      </c>
      <c r="F77" s="152" t="s">
        <v>3</v>
      </c>
      <c r="G77" s="139">
        <v>12</v>
      </c>
      <c r="H77" s="138">
        <f t="shared" si="12"/>
        <v>22268.399999999998</v>
      </c>
      <c r="I77" s="138">
        <f t="shared" si="13"/>
        <v>0.47899999999999998</v>
      </c>
      <c r="J77" s="201">
        <f t="shared" si="15"/>
        <v>10666.563599999998</v>
      </c>
      <c r="K77" s="50">
        <f t="shared" si="14"/>
        <v>0.47899999999999998</v>
      </c>
      <c r="L77" s="50">
        <f t="shared" si="11"/>
        <v>0.24</v>
      </c>
      <c r="U77" s="232" t="s">
        <v>321</v>
      </c>
      <c r="V77" s="50" t="s">
        <v>327</v>
      </c>
    </row>
    <row r="78" spans="1:22" s="2" customFormat="1" ht="12.75" customHeight="1" x14ac:dyDescent="0.2">
      <c r="A78" s="200">
        <v>61</v>
      </c>
      <c r="B78" s="213" t="s">
        <v>70</v>
      </c>
      <c r="C78" s="6">
        <v>1008</v>
      </c>
      <c r="D78" s="6">
        <v>0</v>
      </c>
      <c r="E78" s="214" t="s">
        <v>30</v>
      </c>
      <c r="F78" s="214" t="s">
        <v>3</v>
      </c>
      <c r="G78" s="215">
        <v>1</v>
      </c>
      <c r="H78" s="213">
        <f t="shared" si="12"/>
        <v>1008</v>
      </c>
      <c r="I78" s="6">
        <v>1.7</v>
      </c>
      <c r="J78" s="216">
        <f t="shared" si="15"/>
        <v>1713.6</v>
      </c>
      <c r="K78" s="140">
        <f t="shared" si="14"/>
        <v>0.4</v>
      </c>
      <c r="L78" s="140">
        <f t="shared" si="11"/>
        <v>0.2</v>
      </c>
      <c r="U78" s="233" t="s">
        <v>318</v>
      </c>
      <c r="V78" s="140" t="s">
        <v>327</v>
      </c>
    </row>
    <row r="79" spans="1:22" ht="15" customHeight="1" x14ac:dyDescent="0.2">
      <c r="A79" s="200">
        <v>62</v>
      </c>
      <c r="B79" s="138" t="s">
        <v>334</v>
      </c>
      <c r="C79" s="137">
        <v>1100</v>
      </c>
      <c r="D79" s="137">
        <v>0</v>
      </c>
      <c r="E79" s="152" t="s">
        <v>61</v>
      </c>
      <c r="F79" s="152" t="s">
        <v>3</v>
      </c>
      <c r="G79" s="139">
        <v>4</v>
      </c>
      <c r="H79" s="138">
        <f t="shared" si="12"/>
        <v>4400</v>
      </c>
      <c r="I79" s="138">
        <f>IF(F79=K$13,K79,IF(F79=L$13,L79,"-"))</f>
        <v>0.4</v>
      </c>
      <c r="J79" s="201">
        <f t="shared" si="15"/>
        <v>1760</v>
      </c>
      <c r="K79" s="50">
        <f t="shared" si="14"/>
        <v>0.4</v>
      </c>
      <c r="L79" s="50">
        <f t="shared" ref="L79:L110" si="16">IF(D79&gt;=O$11,IF(D79&lt;=O$12,O$14,0),0)+IF(D79&gt;=P$11,IF(D79&lt;=P$12,P$14,0),0)+IF(D79&gt;=Q$11,IF(D79&lt;=Q$12,Q$14,0),0)+IF(D79&gt;=R$11,IF(D79&lt;=R$12,R$14,0),0)</f>
        <v>0.2</v>
      </c>
      <c r="U79" s="232" t="s">
        <v>317</v>
      </c>
      <c r="V79" s="50" t="s">
        <v>327</v>
      </c>
    </row>
    <row r="80" spans="1:22" s="140" customFormat="1" ht="27" customHeight="1" x14ac:dyDescent="0.2">
      <c r="A80" s="200">
        <v>63</v>
      </c>
      <c r="B80" s="255" t="s">
        <v>163</v>
      </c>
      <c r="C80" s="213">
        <v>2524</v>
      </c>
      <c r="D80" s="213">
        <v>0</v>
      </c>
      <c r="E80" s="249" t="s">
        <v>63</v>
      </c>
      <c r="F80" s="214" t="s">
        <v>62</v>
      </c>
      <c r="G80" s="256">
        <v>4</v>
      </c>
      <c r="H80" s="213">
        <f t="shared" si="12"/>
        <v>10096</v>
      </c>
      <c r="I80" s="213">
        <v>0.25</v>
      </c>
      <c r="J80" s="257">
        <f t="shared" si="15"/>
        <v>2524</v>
      </c>
      <c r="K80" s="140">
        <f t="shared" si="14"/>
        <v>0.4</v>
      </c>
      <c r="L80" s="140">
        <f t="shared" si="16"/>
        <v>0.2</v>
      </c>
      <c r="U80" s="258" t="s">
        <v>315</v>
      </c>
      <c r="V80" s="140" t="s">
        <v>327</v>
      </c>
    </row>
    <row r="81" spans="1:22" ht="15.75" customHeight="1" x14ac:dyDescent="0.2">
      <c r="A81" s="200">
        <v>64</v>
      </c>
      <c r="B81" s="138" t="s">
        <v>362</v>
      </c>
      <c r="C81" s="137">
        <v>2254</v>
      </c>
      <c r="D81" s="137">
        <v>0.1</v>
      </c>
      <c r="E81" s="158" t="s">
        <v>192</v>
      </c>
      <c r="F81" s="152" t="s">
        <v>3</v>
      </c>
      <c r="G81" s="139">
        <v>8</v>
      </c>
      <c r="H81" s="138">
        <f t="shared" si="12"/>
        <v>16228.800000000001</v>
      </c>
      <c r="I81" s="138">
        <f t="shared" ref="I81:I83" si="17">IF(F81=K$13,K81,IF(F81=L$13,L81,"-"))</f>
        <v>0.4</v>
      </c>
      <c r="J81" s="201">
        <f t="shared" si="15"/>
        <v>6491.52</v>
      </c>
      <c r="K81" s="50">
        <f t="shared" si="14"/>
        <v>0.4</v>
      </c>
      <c r="L81" s="50">
        <f t="shared" si="16"/>
        <v>0.2</v>
      </c>
      <c r="U81" s="232" t="s">
        <v>317</v>
      </c>
      <c r="V81" s="50" t="s">
        <v>327</v>
      </c>
    </row>
    <row r="82" spans="1:22" ht="15.75" customHeight="1" x14ac:dyDescent="0.2">
      <c r="A82" s="200">
        <v>65</v>
      </c>
      <c r="B82" s="138" t="s">
        <v>363</v>
      </c>
      <c r="C82" s="137">
        <v>2254</v>
      </c>
      <c r="D82" s="137">
        <v>0.1</v>
      </c>
      <c r="E82" s="158"/>
      <c r="F82" s="159" t="s">
        <v>34</v>
      </c>
      <c r="G82" s="139">
        <v>4</v>
      </c>
      <c r="H82" s="138">
        <f t="shared" si="12"/>
        <v>8114.4000000000005</v>
      </c>
      <c r="I82" s="138">
        <f t="shared" si="17"/>
        <v>0.2</v>
      </c>
      <c r="J82" s="201">
        <f t="shared" si="15"/>
        <v>1622.88</v>
      </c>
      <c r="K82" s="50">
        <f t="shared" si="14"/>
        <v>0.4</v>
      </c>
      <c r="L82" s="50">
        <f t="shared" si="16"/>
        <v>0.2</v>
      </c>
      <c r="U82" s="231" t="s">
        <v>313</v>
      </c>
      <c r="V82" s="50" t="s">
        <v>327</v>
      </c>
    </row>
    <row r="83" spans="1:22" x14ac:dyDescent="0.2">
      <c r="A83" s="200">
        <v>66</v>
      </c>
      <c r="B83" s="138" t="s">
        <v>364</v>
      </c>
      <c r="C83" s="137">
        <v>80</v>
      </c>
      <c r="D83" s="137">
        <v>0</v>
      </c>
      <c r="E83" s="152" t="s">
        <v>60</v>
      </c>
      <c r="F83" s="152" t="s">
        <v>3</v>
      </c>
      <c r="G83" s="139">
        <v>0.1</v>
      </c>
      <c r="H83" s="138">
        <f t="shared" si="12"/>
        <v>8</v>
      </c>
      <c r="I83" s="138">
        <f t="shared" si="17"/>
        <v>0.4</v>
      </c>
      <c r="J83" s="201">
        <f t="shared" si="15"/>
        <v>3.2</v>
      </c>
      <c r="K83" s="50">
        <f t="shared" si="14"/>
        <v>0.4</v>
      </c>
      <c r="L83" s="50">
        <f t="shared" si="16"/>
        <v>0.2</v>
      </c>
      <c r="U83" s="232" t="s">
        <v>317</v>
      </c>
      <c r="V83" s="50" t="s">
        <v>327</v>
      </c>
    </row>
    <row r="84" spans="1:22" s="2" customFormat="1" ht="12.75" customHeight="1" x14ac:dyDescent="0.2">
      <c r="A84" s="200">
        <v>67</v>
      </c>
      <c r="B84" s="255" t="s">
        <v>164</v>
      </c>
      <c r="C84" s="259">
        <v>35</v>
      </c>
      <c r="D84" s="259">
        <v>0</v>
      </c>
      <c r="E84" s="214" t="s">
        <v>299</v>
      </c>
      <c r="F84" s="214" t="s">
        <v>3</v>
      </c>
      <c r="G84" s="215">
        <v>1</v>
      </c>
      <c r="H84" s="213">
        <f t="shared" si="12"/>
        <v>35</v>
      </c>
      <c r="I84" s="6">
        <v>1.7</v>
      </c>
      <c r="J84" s="216">
        <f t="shared" si="15"/>
        <v>59.5</v>
      </c>
      <c r="K84" s="140">
        <f t="shared" si="14"/>
        <v>0.4</v>
      </c>
      <c r="L84" s="140">
        <f t="shared" si="16"/>
        <v>0.2</v>
      </c>
      <c r="U84" s="233" t="s">
        <v>318</v>
      </c>
      <c r="V84" s="140" t="s">
        <v>327</v>
      </c>
    </row>
    <row r="85" spans="1:22" x14ac:dyDescent="0.2">
      <c r="A85" s="200">
        <v>68</v>
      </c>
      <c r="B85" s="138" t="s">
        <v>32</v>
      </c>
      <c r="C85" s="137">
        <v>48</v>
      </c>
      <c r="D85" s="137">
        <v>0</v>
      </c>
      <c r="E85" s="158" t="s">
        <v>192</v>
      </c>
      <c r="F85" s="152" t="s">
        <v>3</v>
      </c>
      <c r="G85" s="139">
        <v>0.5</v>
      </c>
      <c r="H85" s="138">
        <f t="shared" si="12"/>
        <v>24</v>
      </c>
      <c r="I85" s="138">
        <f t="shared" ref="I85:I103" si="18">IF(F85=K$13,K85,IF(F85=L$13,L85,"-"))</f>
        <v>0.4</v>
      </c>
      <c r="J85" s="201">
        <f t="shared" si="15"/>
        <v>9.6000000000000014</v>
      </c>
      <c r="K85" s="50">
        <f t="shared" si="14"/>
        <v>0.4</v>
      </c>
      <c r="L85" s="50">
        <f t="shared" si="16"/>
        <v>0.2</v>
      </c>
      <c r="U85" s="232" t="s">
        <v>317</v>
      </c>
      <c r="V85" s="50" t="s">
        <v>327</v>
      </c>
    </row>
    <row r="86" spans="1:22" x14ac:dyDescent="0.2">
      <c r="A86" s="200">
        <v>69</v>
      </c>
      <c r="B86" s="138" t="s">
        <v>33</v>
      </c>
      <c r="C86" s="137">
        <v>17</v>
      </c>
      <c r="D86" s="137">
        <v>0</v>
      </c>
      <c r="E86" s="152" t="s">
        <v>31</v>
      </c>
      <c r="F86" s="152" t="s">
        <v>3</v>
      </c>
      <c r="G86" s="139">
        <v>8</v>
      </c>
      <c r="H86" s="138">
        <f t="shared" si="12"/>
        <v>136</v>
      </c>
      <c r="I86" s="138">
        <f t="shared" si="18"/>
        <v>0.4</v>
      </c>
      <c r="J86" s="201">
        <f t="shared" si="15"/>
        <v>54.400000000000006</v>
      </c>
      <c r="K86" s="50">
        <f t="shared" si="14"/>
        <v>0.4</v>
      </c>
      <c r="L86" s="50">
        <f t="shared" si="16"/>
        <v>0.2</v>
      </c>
      <c r="U86" s="232" t="s">
        <v>317</v>
      </c>
      <c r="V86" s="50" t="s">
        <v>327</v>
      </c>
    </row>
    <row r="87" spans="1:22" ht="24.75" customHeight="1" x14ac:dyDescent="0.2">
      <c r="A87" s="200">
        <v>70</v>
      </c>
      <c r="B87" s="194" t="s">
        <v>224</v>
      </c>
      <c r="C87" s="137">
        <v>240</v>
      </c>
      <c r="D87" s="137">
        <v>0</v>
      </c>
      <c r="E87" s="158" t="s">
        <v>192</v>
      </c>
      <c r="F87" s="152" t="s">
        <v>3</v>
      </c>
      <c r="G87" s="139">
        <v>1</v>
      </c>
      <c r="H87" s="138">
        <f t="shared" si="12"/>
        <v>240</v>
      </c>
      <c r="I87" s="138">
        <f t="shared" si="18"/>
        <v>0.4</v>
      </c>
      <c r="J87" s="201">
        <f t="shared" si="15"/>
        <v>96</v>
      </c>
      <c r="K87" s="50">
        <f t="shared" si="14"/>
        <v>0.4</v>
      </c>
      <c r="L87" s="50">
        <f t="shared" si="16"/>
        <v>0.2</v>
      </c>
      <c r="U87" s="232" t="s">
        <v>317</v>
      </c>
      <c r="V87" s="50" t="s">
        <v>327</v>
      </c>
    </row>
    <row r="88" spans="1:22" ht="24.75" customHeight="1" x14ac:dyDescent="0.2">
      <c r="A88" s="200">
        <v>71</v>
      </c>
      <c r="B88" s="194" t="s">
        <v>225</v>
      </c>
      <c r="C88" s="137">
        <v>240</v>
      </c>
      <c r="D88" s="137">
        <v>0</v>
      </c>
      <c r="E88" s="158" t="s">
        <v>192</v>
      </c>
      <c r="F88" s="152" t="s">
        <v>3</v>
      </c>
      <c r="G88" s="139">
        <v>1</v>
      </c>
      <c r="H88" s="138">
        <f t="shared" si="12"/>
        <v>240</v>
      </c>
      <c r="I88" s="138">
        <f t="shared" si="18"/>
        <v>0.4</v>
      </c>
      <c r="J88" s="201">
        <f t="shared" si="15"/>
        <v>96</v>
      </c>
      <c r="K88" s="50">
        <f t="shared" si="14"/>
        <v>0.4</v>
      </c>
      <c r="L88" s="50">
        <f t="shared" si="16"/>
        <v>0.2</v>
      </c>
      <c r="U88" s="232" t="s">
        <v>317</v>
      </c>
      <c r="V88" s="50" t="s">
        <v>327</v>
      </c>
    </row>
    <row r="89" spans="1:22" ht="24.75" customHeight="1" x14ac:dyDescent="0.2">
      <c r="A89" s="200">
        <v>72</v>
      </c>
      <c r="B89" s="194" t="s">
        <v>226</v>
      </c>
      <c r="C89" s="137">
        <v>240</v>
      </c>
      <c r="D89" s="137">
        <v>0</v>
      </c>
      <c r="E89" s="158" t="s">
        <v>192</v>
      </c>
      <c r="F89" s="152" t="s">
        <v>3</v>
      </c>
      <c r="G89" s="139">
        <v>1</v>
      </c>
      <c r="H89" s="138">
        <f t="shared" si="12"/>
        <v>240</v>
      </c>
      <c r="I89" s="138">
        <f t="shared" si="18"/>
        <v>0.4</v>
      </c>
      <c r="J89" s="201">
        <f t="shared" si="15"/>
        <v>96</v>
      </c>
      <c r="K89" s="50">
        <f t="shared" si="14"/>
        <v>0.4</v>
      </c>
      <c r="L89" s="50">
        <f t="shared" si="16"/>
        <v>0.2</v>
      </c>
      <c r="U89" s="232" t="s">
        <v>317</v>
      </c>
      <c r="V89" s="50" t="s">
        <v>327</v>
      </c>
    </row>
    <row r="90" spans="1:22" ht="24.75" customHeight="1" x14ac:dyDescent="0.2">
      <c r="A90" s="200">
        <v>73</v>
      </c>
      <c r="B90" s="194" t="s">
        <v>227</v>
      </c>
      <c r="C90" s="137">
        <v>240</v>
      </c>
      <c r="D90" s="137">
        <v>0</v>
      </c>
      <c r="E90" s="158" t="s">
        <v>192</v>
      </c>
      <c r="F90" s="152" t="s">
        <v>3</v>
      </c>
      <c r="G90" s="139">
        <v>1</v>
      </c>
      <c r="H90" s="138">
        <f t="shared" si="12"/>
        <v>240</v>
      </c>
      <c r="I90" s="138">
        <f t="shared" si="18"/>
        <v>0.4</v>
      </c>
      <c r="J90" s="201">
        <f t="shared" si="15"/>
        <v>96</v>
      </c>
      <c r="K90" s="50">
        <f t="shared" si="14"/>
        <v>0.4</v>
      </c>
      <c r="L90" s="50">
        <f t="shared" si="16"/>
        <v>0.2</v>
      </c>
      <c r="U90" s="232" t="s">
        <v>317</v>
      </c>
      <c r="V90" s="50" t="s">
        <v>327</v>
      </c>
    </row>
    <row r="91" spans="1:22" ht="24.75" customHeight="1" x14ac:dyDescent="0.2">
      <c r="A91" s="200">
        <v>74</v>
      </c>
      <c r="B91" s="194" t="s">
        <v>228</v>
      </c>
      <c r="C91" s="137">
        <v>240</v>
      </c>
      <c r="D91" s="137">
        <v>0</v>
      </c>
      <c r="E91" s="158" t="s">
        <v>192</v>
      </c>
      <c r="F91" s="152" t="s">
        <v>3</v>
      </c>
      <c r="G91" s="139">
        <v>1</v>
      </c>
      <c r="H91" s="138">
        <f t="shared" si="12"/>
        <v>240</v>
      </c>
      <c r="I91" s="138">
        <f t="shared" si="18"/>
        <v>0.4</v>
      </c>
      <c r="J91" s="201">
        <f t="shared" si="15"/>
        <v>96</v>
      </c>
      <c r="K91" s="50">
        <f t="shared" si="14"/>
        <v>0.4</v>
      </c>
      <c r="L91" s="50">
        <f t="shared" si="16"/>
        <v>0.2</v>
      </c>
      <c r="U91" s="232" t="s">
        <v>317</v>
      </c>
      <c r="V91" s="50" t="s">
        <v>327</v>
      </c>
    </row>
    <row r="92" spans="1:22" ht="24.75" customHeight="1" x14ac:dyDescent="0.2">
      <c r="A92" s="200">
        <v>75</v>
      </c>
      <c r="B92" s="194" t="s">
        <v>229</v>
      </c>
      <c r="C92" s="137">
        <v>240</v>
      </c>
      <c r="D92" s="137">
        <v>0</v>
      </c>
      <c r="E92" s="158" t="s">
        <v>192</v>
      </c>
      <c r="F92" s="152" t="s">
        <v>3</v>
      </c>
      <c r="G92" s="139">
        <v>1</v>
      </c>
      <c r="H92" s="138">
        <f t="shared" si="12"/>
        <v>240</v>
      </c>
      <c r="I92" s="138">
        <f t="shared" si="18"/>
        <v>0.4</v>
      </c>
      <c r="J92" s="201">
        <f t="shared" si="15"/>
        <v>96</v>
      </c>
      <c r="K92" s="50">
        <f t="shared" si="14"/>
        <v>0.4</v>
      </c>
      <c r="L92" s="50">
        <f t="shared" si="16"/>
        <v>0.2</v>
      </c>
      <c r="U92" s="232" t="s">
        <v>317</v>
      </c>
      <c r="V92" s="50" t="s">
        <v>327</v>
      </c>
    </row>
    <row r="93" spans="1:22" ht="24.75" customHeight="1" x14ac:dyDescent="0.2">
      <c r="A93" s="200">
        <v>76</v>
      </c>
      <c r="B93" s="194" t="s">
        <v>230</v>
      </c>
      <c r="C93" s="137">
        <v>240</v>
      </c>
      <c r="D93" s="137">
        <v>0</v>
      </c>
      <c r="E93" s="158" t="s">
        <v>192</v>
      </c>
      <c r="F93" s="152" t="s">
        <v>3</v>
      </c>
      <c r="G93" s="139">
        <v>1</v>
      </c>
      <c r="H93" s="138">
        <f t="shared" si="12"/>
        <v>240</v>
      </c>
      <c r="I93" s="138">
        <f t="shared" si="18"/>
        <v>0.4</v>
      </c>
      <c r="J93" s="201">
        <f t="shared" si="15"/>
        <v>96</v>
      </c>
      <c r="K93" s="50">
        <f t="shared" si="14"/>
        <v>0.4</v>
      </c>
      <c r="L93" s="50">
        <f t="shared" si="16"/>
        <v>0.2</v>
      </c>
      <c r="U93" s="232" t="s">
        <v>317</v>
      </c>
      <c r="V93" s="50" t="s">
        <v>327</v>
      </c>
    </row>
    <row r="94" spans="1:22" ht="24.75" customHeight="1" x14ac:dyDescent="0.2">
      <c r="A94" s="200">
        <v>77</v>
      </c>
      <c r="B94" s="194" t="s">
        <v>231</v>
      </c>
      <c r="C94" s="137">
        <v>240</v>
      </c>
      <c r="D94" s="137">
        <v>0</v>
      </c>
      <c r="E94" s="158" t="s">
        <v>192</v>
      </c>
      <c r="F94" s="152" t="s">
        <v>3</v>
      </c>
      <c r="G94" s="139">
        <v>1</v>
      </c>
      <c r="H94" s="138">
        <f t="shared" si="12"/>
        <v>240</v>
      </c>
      <c r="I94" s="138">
        <f t="shared" si="18"/>
        <v>0.4</v>
      </c>
      <c r="J94" s="201">
        <f t="shared" si="15"/>
        <v>96</v>
      </c>
      <c r="K94" s="50">
        <f t="shared" si="14"/>
        <v>0.4</v>
      </c>
      <c r="L94" s="50">
        <f t="shared" si="16"/>
        <v>0.2</v>
      </c>
      <c r="U94" s="232" t="s">
        <v>317</v>
      </c>
      <c r="V94" s="50" t="s">
        <v>327</v>
      </c>
    </row>
    <row r="95" spans="1:22" x14ac:dyDescent="0.2">
      <c r="A95" s="200">
        <v>78</v>
      </c>
      <c r="B95" s="138" t="s">
        <v>260</v>
      </c>
      <c r="C95" s="137">
        <v>136</v>
      </c>
      <c r="D95" s="137">
        <v>0</v>
      </c>
      <c r="E95" s="158" t="s">
        <v>192</v>
      </c>
      <c r="F95" s="152" t="s">
        <v>3</v>
      </c>
      <c r="G95" s="137">
        <v>12</v>
      </c>
      <c r="H95" s="138">
        <f t="shared" si="12"/>
        <v>1632</v>
      </c>
      <c r="I95" s="138">
        <f t="shared" si="18"/>
        <v>0.4</v>
      </c>
      <c r="J95" s="201">
        <f t="shared" si="15"/>
        <v>652.80000000000007</v>
      </c>
      <c r="K95" s="50">
        <f t="shared" si="14"/>
        <v>0.4</v>
      </c>
      <c r="L95" s="50">
        <f t="shared" si="16"/>
        <v>0.2</v>
      </c>
      <c r="U95" s="232" t="s">
        <v>317</v>
      </c>
      <c r="V95" s="50" t="s">
        <v>327</v>
      </c>
    </row>
    <row r="96" spans="1:22" x14ac:dyDescent="0.2">
      <c r="A96" s="200">
        <v>79</v>
      </c>
      <c r="B96" s="138" t="s">
        <v>35</v>
      </c>
      <c r="C96" s="137">
        <v>330</v>
      </c>
      <c r="D96" s="137">
        <v>0</v>
      </c>
      <c r="E96" s="152" t="s">
        <v>5</v>
      </c>
      <c r="F96" s="152" t="s">
        <v>3</v>
      </c>
      <c r="G96" s="139">
        <v>0.5</v>
      </c>
      <c r="H96" s="138">
        <f t="shared" si="12"/>
        <v>165</v>
      </c>
      <c r="I96" s="138">
        <f t="shared" si="18"/>
        <v>0.4</v>
      </c>
      <c r="J96" s="201">
        <f t="shared" si="15"/>
        <v>66</v>
      </c>
      <c r="K96" s="50">
        <f t="shared" si="14"/>
        <v>0.4</v>
      </c>
      <c r="L96" s="50">
        <f t="shared" si="16"/>
        <v>0.2</v>
      </c>
      <c r="U96" s="232" t="s">
        <v>317</v>
      </c>
      <c r="V96" s="50" t="s">
        <v>327</v>
      </c>
    </row>
    <row r="97" spans="1:22" x14ac:dyDescent="0.2">
      <c r="A97" s="200">
        <v>80</v>
      </c>
      <c r="B97" s="138" t="s">
        <v>36</v>
      </c>
      <c r="C97" s="137">
        <v>1535</v>
      </c>
      <c r="D97" s="137">
        <v>0.2</v>
      </c>
      <c r="E97" s="152" t="s">
        <v>5</v>
      </c>
      <c r="F97" s="159" t="s">
        <v>34</v>
      </c>
      <c r="G97" s="139">
        <v>0.5</v>
      </c>
      <c r="H97" s="138">
        <f t="shared" si="12"/>
        <v>614</v>
      </c>
      <c r="I97" s="138">
        <f t="shared" si="18"/>
        <v>0.2</v>
      </c>
      <c r="J97" s="201">
        <f t="shared" si="15"/>
        <v>122.80000000000001</v>
      </c>
      <c r="K97" s="50">
        <f t="shared" si="14"/>
        <v>0.4</v>
      </c>
      <c r="L97" s="50">
        <f t="shared" si="16"/>
        <v>0.2</v>
      </c>
      <c r="U97" s="231" t="s">
        <v>313</v>
      </c>
      <c r="V97" s="50" t="s">
        <v>327</v>
      </c>
    </row>
    <row r="98" spans="1:22" x14ac:dyDescent="0.2">
      <c r="A98" s="200">
        <v>81</v>
      </c>
      <c r="B98" s="138" t="s">
        <v>165</v>
      </c>
      <c r="C98" s="137">
        <v>850</v>
      </c>
      <c r="D98" s="137">
        <v>0.3</v>
      </c>
      <c r="E98" s="152" t="s">
        <v>5</v>
      </c>
      <c r="F98" s="159" t="s">
        <v>34</v>
      </c>
      <c r="G98" s="139">
        <v>0.1</v>
      </c>
      <c r="H98" s="138">
        <f t="shared" si="12"/>
        <v>59.499999999999993</v>
      </c>
      <c r="I98" s="138">
        <f t="shared" si="18"/>
        <v>0.24</v>
      </c>
      <c r="J98" s="201">
        <f t="shared" si="15"/>
        <v>14.279999999999998</v>
      </c>
      <c r="K98" s="50">
        <f t="shared" si="14"/>
        <v>0.47899999999999998</v>
      </c>
      <c r="L98" s="50">
        <f t="shared" si="16"/>
        <v>0.24</v>
      </c>
      <c r="U98" s="232" t="s">
        <v>322</v>
      </c>
      <c r="V98" s="50" t="s">
        <v>327</v>
      </c>
    </row>
    <row r="99" spans="1:22" x14ac:dyDescent="0.2">
      <c r="A99" s="200">
        <v>82</v>
      </c>
      <c r="B99" s="138" t="s">
        <v>37</v>
      </c>
      <c r="C99" s="137">
        <v>850</v>
      </c>
      <c r="D99" s="137">
        <v>0</v>
      </c>
      <c r="E99" s="152" t="s">
        <v>5</v>
      </c>
      <c r="F99" s="159" t="s">
        <v>34</v>
      </c>
      <c r="G99" s="139">
        <v>0.1</v>
      </c>
      <c r="H99" s="138">
        <f t="shared" si="12"/>
        <v>85</v>
      </c>
      <c r="I99" s="138">
        <f t="shared" si="18"/>
        <v>0.2</v>
      </c>
      <c r="J99" s="201">
        <f t="shared" si="15"/>
        <v>17</v>
      </c>
      <c r="K99" s="50">
        <f t="shared" si="14"/>
        <v>0.4</v>
      </c>
      <c r="L99" s="50">
        <f t="shared" si="16"/>
        <v>0.2</v>
      </c>
      <c r="U99" s="231" t="s">
        <v>313</v>
      </c>
      <c r="V99" s="50" t="s">
        <v>327</v>
      </c>
    </row>
    <row r="100" spans="1:22" x14ac:dyDescent="0.2">
      <c r="A100" s="200">
        <v>83</v>
      </c>
      <c r="B100" s="138" t="s">
        <v>38</v>
      </c>
      <c r="C100" s="137">
        <v>1775</v>
      </c>
      <c r="D100" s="137">
        <v>0.4</v>
      </c>
      <c r="E100" s="152" t="s">
        <v>5</v>
      </c>
      <c r="F100" s="159" t="s">
        <v>34</v>
      </c>
      <c r="G100" s="139">
        <v>0.1</v>
      </c>
      <c r="H100" s="138">
        <f t="shared" si="12"/>
        <v>106.5</v>
      </c>
      <c r="I100" s="138">
        <f t="shared" si="18"/>
        <v>0.24</v>
      </c>
      <c r="J100" s="201">
        <f t="shared" si="15"/>
        <v>25.56</v>
      </c>
      <c r="K100" s="50">
        <f t="shared" si="14"/>
        <v>0.47899999999999998</v>
      </c>
      <c r="L100" s="50">
        <f t="shared" si="16"/>
        <v>0.24</v>
      </c>
      <c r="U100" s="232" t="s">
        <v>322</v>
      </c>
      <c r="V100" s="50" t="s">
        <v>327</v>
      </c>
    </row>
    <row r="101" spans="1:22" ht="13.5" customHeight="1" x14ac:dyDescent="0.2">
      <c r="A101" s="200">
        <v>84</v>
      </c>
      <c r="B101" s="138" t="s">
        <v>166</v>
      </c>
      <c r="C101" s="137">
        <v>619</v>
      </c>
      <c r="D101" s="137">
        <v>0</v>
      </c>
      <c r="E101" s="152" t="s">
        <v>5</v>
      </c>
      <c r="F101" s="159" t="s">
        <v>34</v>
      </c>
      <c r="G101" s="139">
        <v>0.1</v>
      </c>
      <c r="H101" s="138">
        <f t="shared" si="12"/>
        <v>61.900000000000006</v>
      </c>
      <c r="I101" s="138">
        <f t="shared" si="18"/>
        <v>0.2</v>
      </c>
      <c r="J101" s="201">
        <f t="shared" si="15"/>
        <v>12.380000000000003</v>
      </c>
      <c r="K101" s="50">
        <f t="shared" si="14"/>
        <v>0.4</v>
      </c>
      <c r="L101" s="50">
        <f t="shared" si="16"/>
        <v>0.2</v>
      </c>
      <c r="U101" s="231" t="s">
        <v>313</v>
      </c>
      <c r="V101" s="50" t="s">
        <v>327</v>
      </c>
    </row>
    <row r="102" spans="1:22" ht="13.5" customHeight="1" x14ac:dyDescent="0.2">
      <c r="A102" s="200">
        <v>85</v>
      </c>
      <c r="B102" s="138" t="s">
        <v>39</v>
      </c>
      <c r="C102" s="137">
        <v>645</v>
      </c>
      <c r="D102" s="137">
        <v>0</v>
      </c>
      <c r="E102" s="152" t="s">
        <v>5</v>
      </c>
      <c r="F102" s="159" t="s">
        <v>34</v>
      </c>
      <c r="G102" s="139">
        <v>0.1</v>
      </c>
      <c r="H102" s="138">
        <f t="shared" si="12"/>
        <v>64.5</v>
      </c>
      <c r="I102" s="138">
        <f t="shared" si="18"/>
        <v>0.2</v>
      </c>
      <c r="J102" s="201">
        <f t="shared" si="15"/>
        <v>12.9</v>
      </c>
      <c r="K102" s="50">
        <f t="shared" si="14"/>
        <v>0.4</v>
      </c>
      <c r="L102" s="50">
        <f t="shared" si="16"/>
        <v>0.2</v>
      </c>
      <c r="U102" s="231" t="s">
        <v>313</v>
      </c>
      <c r="V102" s="50" t="s">
        <v>327</v>
      </c>
    </row>
    <row r="103" spans="1:22" ht="13.5" customHeight="1" x14ac:dyDescent="0.2">
      <c r="A103" s="200">
        <v>86</v>
      </c>
      <c r="B103" s="138" t="s">
        <v>232</v>
      </c>
      <c r="C103" s="137">
        <v>1050</v>
      </c>
      <c r="D103" s="137">
        <v>0</v>
      </c>
      <c r="E103" s="158" t="s">
        <v>192</v>
      </c>
      <c r="F103" s="152" t="s">
        <v>3</v>
      </c>
      <c r="G103" s="139">
        <v>1</v>
      </c>
      <c r="H103" s="138">
        <f t="shared" si="12"/>
        <v>1050</v>
      </c>
      <c r="I103" s="138">
        <f t="shared" si="18"/>
        <v>0.4</v>
      </c>
      <c r="J103" s="201">
        <f t="shared" si="15"/>
        <v>420</v>
      </c>
      <c r="K103" s="50">
        <f t="shared" si="14"/>
        <v>0.4</v>
      </c>
      <c r="L103" s="50">
        <f t="shared" si="16"/>
        <v>0.2</v>
      </c>
      <c r="U103" s="232" t="s">
        <v>317</v>
      </c>
      <c r="V103" s="50" t="s">
        <v>327</v>
      </c>
    </row>
    <row r="104" spans="1:22" ht="14.25" customHeight="1" x14ac:dyDescent="0.2">
      <c r="A104" s="200"/>
      <c r="B104" s="193" t="s">
        <v>141</v>
      </c>
      <c r="C104" s="137"/>
      <c r="D104" s="137"/>
      <c r="E104" s="152"/>
      <c r="F104" s="152"/>
      <c r="G104" s="139"/>
      <c r="H104" s="137"/>
      <c r="I104" s="137"/>
      <c r="J104" s="201"/>
      <c r="K104" s="50">
        <f t="shared" si="14"/>
        <v>0.4</v>
      </c>
      <c r="L104" s="50">
        <f t="shared" si="16"/>
        <v>0.2</v>
      </c>
      <c r="U104" s="232"/>
    </row>
    <row r="105" spans="1:22" s="2" customFormat="1" ht="12.75" customHeight="1" x14ac:dyDescent="0.2">
      <c r="A105" s="212">
        <v>87</v>
      </c>
      <c r="B105" s="138" t="s">
        <v>167</v>
      </c>
      <c r="C105" s="137">
        <v>20</v>
      </c>
      <c r="D105" s="137">
        <v>0</v>
      </c>
      <c r="E105" s="152" t="s">
        <v>74</v>
      </c>
      <c r="F105" s="152" t="s">
        <v>3</v>
      </c>
      <c r="G105" s="139">
        <v>0.1</v>
      </c>
      <c r="H105" s="138">
        <f t="shared" ref="H105:H122" si="19">C105*G105*(1-D105)</f>
        <v>2</v>
      </c>
      <c r="I105" s="137">
        <v>4.43</v>
      </c>
      <c r="J105" s="201">
        <f t="shared" si="15"/>
        <v>8.86</v>
      </c>
      <c r="K105" s="140">
        <f t="shared" si="14"/>
        <v>0.4</v>
      </c>
      <c r="L105" s="140">
        <f t="shared" si="16"/>
        <v>0.2</v>
      </c>
      <c r="U105" s="233" t="s">
        <v>319</v>
      </c>
      <c r="V105" s="2" t="s">
        <v>320</v>
      </c>
    </row>
    <row r="106" spans="1:22" x14ac:dyDescent="0.2">
      <c r="A106" s="200">
        <v>88</v>
      </c>
      <c r="B106" s="138" t="s">
        <v>366</v>
      </c>
      <c r="C106" s="137">
        <v>67</v>
      </c>
      <c r="D106" s="137">
        <v>0.2</v>
      </c>
      <c r="E106" s="152" t="s">
        <v>40</v>
      </c>
      <c r="F106" s="152" t="s">
        <v>3</v>
      </c>
      <c r="G106" s="139">
        <v>8</v>
      </c>
      <c r="H106" s="138">
        <f t="shared" si="19"/>
        <v>428.8</v>
      </c>
      <c r="I106" s="138">
        <f t="shared" ref="I106:I109" si="20">IF(F106=K$13,K106,IF(F106=L$13,L106,"-"))</f>
        <v>0.4</v>
      </c>
      <c r="J106" s="201">
        <f t="shared" si="15"/>
        <v>171.52</v>
      </c>
      <c r="K106" s="50">
        <f t="shared" si="14"/>
        <v>0.4</v>
      </c>
      <c r="L106" s="50">
        <f t="shared" si="16"/>
        <v>0.2</v>
      </c>
      <c r="U106" s="232" t="s">
        <v>317</v>
      </c>
      <c r="V106" s="50" t="s">
        <v>327</v>
      </c>
    </row>
    <row r="107" spans="1:22" s="2" customFormat="1" x14ac:dyDescent="0.2">
      <c r="A107" s="212">
        <v>89</v>
      </c>
      <c r="B107" s="138" t="s">
        <v>41</v>
      </c>
      <c r="C107" s="137">
        <v>128</v>
      </c>
      <c r="D107" s="137">
        <v>0.1</v>
      </c>
      <c r="E107" s="152" t="s">
        <v>40</v>
      </c>
      <c r="F107" s="152" t="s">
        <v>3</v>
      </c>
      <c r="G107" s="139">
        <v>1</v>
      </c>
      <c r="H107" s="138">
        <f t="shared" si="19"/>
        <v>115.2</v>
      </c>
      <c r="I107" s="138">
        <f t="shared" si="20"/>
        <v>0.4</v>
      </c>
      <c r="J107" s="201">
        <f t="shared" si="15"/>
        <v>46.080000000000005</v>
      </c>
      <c r="K107" s="50">
        <f t="shared" si="14"/>
        <v>0.4</v>
      </c>
      <c r="L107" s="50">
        <f t="shared" si="16"/>
        <v>0.2</v>
      </c>
      <c r="U107" s="232" t="s">
        <v>317</v>
      </c>
      <c r="V107" s="50" t="s">
        <v>327</v>
      </c>
    </row>
    <row r="108" spans="1:22" s="2" customFormat="1" x14ac:dyDescent="0.2">
      <c r="A108" s="200">
        <v>90</v>
      </c>
      <c r="B108" s="138" t="s">
        <v>42</v>
      </c>
      <c r="C108" s="137">
        <v>154</v>
      </c>
      <c r="D108" s="137">
        <v>0</v>
      </c>
      <c r="E108" s="152" t="s">
        <v>5</v>
      </c>
      <c r="F108" s="152" t="s">
        <v>3</v>
      </c>
      <c r="G108" s="139">
        <v>1</v>
      </c>
      <c r="H108" s="138">
        <f t="shared" si="19"/>
        <v>154</v>
      </c>
      <c r="I108" s="138">
        <f t="shared" si="20"/>
        <v>0.4</v>
      </c>
      <c r="J108" s="201">
        <f t="shared" si="15"/>
        <v>61.6</v>
      </c>
      <c r="K108" s="50">
        <f t="shared" si="14"/>
        <v>0.4</v>
      </c>
      <c r="L108" s="50">
        <f t="shared" si="16"/>
        <v>0.2</v>
      </c>
      <c r="U108" s="232" t="s">
        <v>317</v>
      </c>
      <c r="V108" s="50" t="s">
        <v>327</v>
      </c>
    </row>
    <row r="109" spans="1:22" s="2" customFormat="1" x14ac:dyDescent="0.2">
      <c r="A109" s="212">
        <v>91</v>
      </c>
      <c r="B109" s="138" t="s">
        <v>43</v>
      </c>
      <c r="C109" s="137">
        <v>280</v>
      </c>
      <c r="D109" s="137">
        <v>0.3</v>
      </c>
      <c r="E109" s="152" t="s">
        <v>5</v>
      </c>
      <c r="F109" s="152" t="s">
        <v>3</v>
      </c>
      <c r="G109" s="139">
        <v>1</v>
      </c>
      <c r="H109" s="138">
        <f t="shared" si="19"/>
        <v>196</v>
      </c>
      <c r="I109" s="138">
        <f t="shared" si="20"/>
        <v>0.47899999999999998</v>
      </c>
      <c r="J109" s="201">
        <f t="shared" si="15"/>
        <v>93.884</v>
      </c>
      <c r="K109" s="50">
        <f t="shared" si="14"/>
        <v>0.47899999999999998</v>
      </c>
      <c r="L109" s="50">
        <f t="shared" si="16"/>
        <v>0.24</v>
      </c>
      <c r="U109" s="232" t="s">
        <v>321</v>
      </c>
      <c r="V109" s="50" t="s">
        <v>327</v>
      </c>
    </row>
    <row r="110" spans="1:22" s="2" customFormat="1" ht="12.75" customHeight="1" x14ac:dyDescent="0.2">
      <c r="A110" s="200">
        <v>92</v>
      </c>
      <c r="B110" s="213" t="s">
        <v>357</v>
      </c>
      <c r="C110" s="6">
        <v>7</v>
      </c>
      <c r="D110" s="6">
        <v>0</v>
      </c>
      <c r="E110" s="214" t="s">
        <v>54</v>
      </c>
      <c r="F110" s="214" t="s">
        <v>3</v>
      </c>
      <c r="G110" s="215">
        <v>0.1</v>
      </c>
      <c r="H110" s="213">
        <f t="shared" si="19"/>
        <v>0.70000000000000007</v>
      </c>
      <c r="I110" s="6">
        <v>4.43</v>
      </c>
      <c r="J110" s="216">
        <f t="shared" si="15"/>
        <v>3.101</v>
      </c>
      <c r="K110" s="140">
        <f t="shared" si="14"/>
        <v>0.4</v>
      </c>
      <c r="L110" s="140">
        <f t="shared" si="16"/>
        <v>0.2</v>
      </c>
      <c r="U110" s="233" t="s">
        <v>319</v>
      </c>
      <c r="V110" s="2" t="s">
        <v>320</v>
      </c>
    </row>
    <row r="111" spans="1:22" s="2" customFormat="1" ht="12.75" customHeight="1" x14ac:dyDescent="0.2">
      <c r="A111" s="212">
        <v>93</v>
      </c>
      <c r="B111" s="213" t="s">
        <v>358</v>
      </c>
      <c r="C111" s="6">
        <v>17</v>
      </c>
      <c r="D111" s="6"/>
      <c r="E111" s="214"/>
      <c r="F111" s="214" t="s">
        <v>3</v>
      </c>
      <c r="G111" s="215">
        <v>1</v>
      </c>
      <c r="H111" s="213">
        <f t="shared" si="19"/>
        <v>17</v>
      </c>
      <c r="I111" s="213">
        <v>1.7</v>
      </c>
      <c r="J111" s="216">
        <f t="shared" si="15"/>
        <v>28.9</v>
      </c>
      <c r="K111" s="140">
        <f t="shared" si="14"/>
        <v>0.4</v>
      </c>
      <c r="L111" s="140"/>
      <c r="U111" s="233" t="s">
        <v>318</v>
      </c>
      <c r="V111" s="140" t="s">
        <v>327</v>
      </c>
    </row>
    <row r="112" spans="1:22" s="2" customFormat="1" ht="12.75" customHeight="1" x14ac:dyDescent="0.2">
      <c r="A112" s="200">
        <v>94</v>
      </c>
      <c r="B112" s="213" t="s">
        <v>75</v>
      </c>
      <c r="C112" s="6">
        <v>1.8</v>
      </c>
      <c r="D112" s="6">
        <v>0</v>
      </c>
      <c r="E112" s="214" t="s">
        <v>74</v>
      </c>
      <c r="F112" s="214" t="s">
        <v>3</v>
      </c>
      <c r="G112" s="215">
        <v>0.1</v>
      </c>
      <c r="H112" s="213">
        <f t="shared" si="19"/>
        <v>0.18000000000000002</v>
      </c>
      <c r="I112" s="6">
        <v>4.43</v>
      </c>
      <c r="J112" s="216">
        <f>H112*I112</f>
        <v>0.7974</v>
      </c>
      <c r="K112" s="140">
        <f t="shared" si="14"/>
        <v>0.4</v>
      </c>
      <c r="L112" s="140">
        <f t="shared" ref="L112:L142" si="21">IF(D112&gt;=O$11,IF(D112&lt;=O$12,O$14,0),0)+IF(D112&gt;=P$11,IF(D112&lt;=P$12,P$14,0),0)+IF(D112&gt;=Q$11,IF(D112&lt;=Q$12,Q$14,0),0)+IF(D112&gt;=R$11,IF(D112&lt;=R$12,R$14,0),0)</f>
        <v>0.2</v>
      </c>
      <c r="U112" s="232" t="s">
        <v>319</v>
      </c>
      <c r="V112" s="1" t="s">
        <v>320</v>
      </c>
    </row>
    <row r="113" spans="1:22" x14ac:dyDescent="0.2">
      <c r="A113" s="212">
        <v>95</v>
      </c>
      <c r="B113" s="138" t="s">
        <v>65</v>
      </c>
      <c r="C113" s="137">
        <v>100</v>
      </c>
      <c r="D113" s="137">
        <v>0.3</v>
      </c>
      <c r="E113" s="158" t="s">
        <v>192</v>
      </c>
      <c r="F113" s="153" t="s">
        <v>3</v>
      </c>
      <c r="G113" s="139">
        <v>2</v>
      </c>
      <c r="H113" s="138">
        <f t="shared" si="19"/>
        <v>140</v>
      </c>
      <c r="I113" s="138">
        <f t="shared" ref="I113:I114" si="22">IF(F113=K$13,K113,IF(F113=L$13,L113,"-"))</f>
        <v>0.47899999999999998</v>
      </c>
      <c r="J113" s="201">
        <f>H113*I113</f>
        <v>67.06</v>
      </c>
      <c r="K113" s="50">
        <f t="shared" si="14"/>
        <v>0.47899999999999998</v>
      </c>
      <c r="L113" s="50">
        <f t="shared" si="21"/>
        <v>0.24</v>
      </c>
      <c r="U113" s="232" t="s">
        <v>321</v>
      </c>
      <c r="V113" s="50" t="s">
        <v>327</v>
      </c>
    </row>
    <row r="114" spans="1:22" x14ac:dyDescent="0.2">
      <c r="A114" s="200">
        <v>96</v>
      </c>
      <c r="B114" s="138" t="s">
        <v>45</v>
      </c>
      <c r="C114" s="137">
        <v>17.600000000000001</v>
      </c>
      <c r="D114" s="137">
        <v>0</v>
      </c>
      <c r="E114" s="158" t="s">
        <v>192</v>
      </c>
      <c r="F114" s="153" t="s">
        <v>3</v>
      </c>
      <c r="G114" s="139">
        <v>8</v>
      </c>
      <c r="H114" s="138">
        <f t="shared" si="19"/>
        <v>140.80000000000001</v>
      </c>
      <c r="I114" s="138">
        <f t="shared" si="22"/>
        <v>0.4</v>
      </c>
      <c r="J114" s="201">
        <f t="shared" si="15"/>
        <v>56.320000000000007</v>
      </c>
      <c r="K114" s="50">
        <f t="shared" si="14"/>
        <v>0.4</v>
      </c>
      <c r="L114" s="50">
        <f t="shared" si="21"/>
        <v>0.2</v>
      </c>
      <c r="U114" s="232" t="s">
        <v>317</v>
      </c>
      <c r="V114" s="50" t="s">
        <v>327</v>
      </c>
    </row>
    <row r="115" spans="1:22" s="2" customFormat="1" ht="12.75" customHeight="1" x14ac:dyDescent="0.2">
      <c r="A115" s="212">
        <v>97</v>
      </c>
      <c r="B115" s="213" t="s">
        <v>73</v>
      </c>
      <c r="C115" s="6">
        <v>53</v>
      </c>
      <c r="D115" s="6">
        <v>0</v>
      </c>
      <c r="E115" s="214"/>
      <c r="F115" s="214" t="s">
        <v>3</v>
      </c>
      <c r="G115" s="215">
        <v>1</v>
      </c>
      <c r="H115" s="213">
        <f t="shared" si="19"/>
        <v>53</v>
      </c>
      <c r="I115" s="6">
        <v>1.7</v>
      </c>
      <c r="J115" s="216">
        <f t="shared" si="15"/>
        <v>90.1</v>
      </c>
      <c r="K115" s="140">
        <f t="shared" si="14"/>
        <v>0.4</v>
      </c>
      <c r="L115" s="140">
        <f t="shared" si="21"/>
        <v>0.2</v>
      </c>
      <c r="U115" s="233" t="s">
        <v>318</v>
      </c>
      <c r="V115" s="140" t="s">
        <v>327</v>
      </c>
    </row>
    <row r="116" spans="1:22" x14ac:dyDescent="0.2">
      <c r="A116" s="200">
        <v>98</v>
      </c>
      <c r="B116" s="138" t="s">
        <v>46</v>
      </c>
      <c r="C116" s="137">
        <v>175</v>
      </c>
      <c r="D116" s="137">
        <v>0.2</v>
      </c>
      <c r="E116" s="158" t="s">
        <v>273</v>
      </c>
      <c r="F116" s="152" t="s">
        <v>3</v>
      </c>
      <c r="G116" s="139">
        <v>1</v>
      </c>
      <c r="H116" s="138">
        <f t="shared" si="19"/>
        <v>140</v>
      </c>
      <c r="I116" s="138">
        <f t="shared" ref="I116:I122" si="23">IF(F116=K$13,K116,IF(F116=L$13,L116,"-"))</f>
        <v>0.4</v>
      </c>
      <c r="J116" s="201">
        <f t="shared" si="15"/>
        <v>56</v>
      </c>
      <c r="K116" s="50">
        <f t="shared" si="14"/>
        <v>0.4</v>
      </c>
      <c r="L116" s="50">
        <f t="shared" si="21"/>
        <v>0.2</v>
      </c>
      <c r="U116" s="232" t="s">
        <v>317</v>
      </c>
      <c r="V116" s="50" t="s">
        <v>327</v>
      </c>
    </row>
    <row r="117" spans="1:22" x14ac:dyDescent="0.2">
      <c r="A117" s="212">
        <v>99</v>
      </c>
      <c r="B117" s="138" t="s">
        <v>274</v>
      </c>
      <c r="C117" s="137">
        <v>166.3</v>
      </c>
      <c r="D117" s="137">
        <v>0</v>
      </c>
      <c r="E117" s="158" t="s">
        <v>192</v>
      </c>
      <c r="F117" s="152" t="s">
        <v>3</v>
      </c>
      <c r="G117" s="139">
        <v>1</v>
      </c>
      <c r="H117" s="138">
        <f t="shared" si="19"/>
        <v>166.3</v>
      </c>
      <c r="I117" s="138">
        <f t="shared" si="23"/>
        <v>0.4</v>
      </c>
      <c r="J117" s="201">
        <f t="shared" si="15"/>
        <v>66.52000000000001</v>
      </c>
      <c r="K117" s="50">
        <f t="shared" si="14"/>
        <v>0.4</v>
      </c>
      <c r="L117" s="50">
        <f t="shared" si="21"/>
        <v>0.2</v>
      </c>
      <c r="U117" s="232" t="s">
        <v>317</v>
      </c>
      <c r="V117" s="50" t="s">
        <v>327</v>
      </c>
    </row>
    <row r="118" spans="1:22" x14ac:dyDescent="0.2">
      <c r="A118" s="200">
        <v>100</v>
      </c>
      <c r="B118" s="138" t="s">
        <v>64</v>
      </c>
      <c r="C118" s="137">
        <v>48</v>
      </c>
      <c r="D118" s="137">
        <v>0.7</v>
      </c>
      <c r="E118" s="158" t="s">
        <v>192</v>
      </c>
      <c r="F118" s="152" t="s">
        <v>3</v>
      </c>
      <c r="G118" s="139">
        <v>0.1</v>
      </c>
      <c r="H118" s="138">
        <f t="shared" si="19"/>
        <v>1.4400000000000004</v>
      </c>
      <c r="I118" s="138">
        <f t="shared" si="23"/>
        <v>0.68899999999999995</v>
      </c>
      <c r="J118" s="201">
        <f t="shared" si="15"/>
        <v>0.99216000000000015</v>
      </c>
      <c r="K118" s="50">
        <f t="shared" si="14"/>
        <v>0.68899999999999995</v>
      </c>
      <c r="L118" s="50">
        <f t="shared" si="21"/>
        <v>0.34599999999999997</v>
      </c>
      <c r="U118" s="232" t="s">
        <v>323</v>
      </c>
      <c r="V118" s="50" t="s">
        <v>327</v>
      </c>
    </row>
    <row r="119" spans="1:22" x14ac:dyDescent="0.2">
      <c r="A119" s="212">
        <v>101</v>
      </c>
      <c r="B119" s="138" t="s">
        <v>205</v>
      </c>
      <c r="C119" s="137">
        <v>7.5</v>
      </c>
      <c r="D119" s="137">
        <v>0</v>
      </c>
      <c r="E119" s="152" t="s">
        <v>31</v>
      </c>
      <c r="F119" s="152" t="s">
        <v>3</v>
      </c>
      <c r="G119" s="139">
        <v>20</v>
      </c>
      <c r="H119" s="138">
        <f t="shared" si="19"/>
        <v>150</v>
      </c>
      <c r="I119" s="138">
        <f t="shared" si="23"/>
        <v>0.4</v>
      </c>
      <c r="J119" s="201">
        <f t="shared" si="15"/>
        <v>60</v>
      </c>
      <c r="K119" s="50">
        <f t="shared" si="14"/>
        <v>0.4</v>
      </c>
      <c r="L119" s="50">
        <f t="shared" si="21"/>
        <v>0.2</v>
      </c>
      <c r="U119" s="232" t="s">
        <v>317</v>
      </c>
      <c r="V119" s="50" t="s">
        <v>327</v>
      </c>
    </row>
    <row r="120" spans="1:22" x14ac:dyDescent="0.2">
      <c r="A120" s="200">
        <v>102</v>
      </c>
      <c r="B120" s="138" t="s">
        <v>275</v>
      </c>
      <c r="C120" s="138">
        <v>1130</v>
      </c>
      <c r="D120" s="138">
        <v>0</v>
      </c>
      <c r="E120" s="158" t="s">
        <v>192</v>
      </c>
      <c r="F120" s="152" t="s">
        <v>3</v>
      </c>
      <c r="G120" s="164">
        <v>1</v>
      </c>
      <c r="H120" s="138">
        <f t="shared" si="19"/>
        <v>1130</v>
      </c>
      <c r="I120" s="138">
        <f t="shared" si="23"/>
        <v>0.4</v>
      </c>
      <c r="J120" s="202">
        <f t="shared" si="15"/>
        <v>452</v>
      </c>
      <c r="K120" s="50">
        <f t="shared" si="14"/>
        <v>0.4</v>
      </c>
      <c r="L120" s="50">
        <f t="shared" si="21"/>
        <v>0.2</v>
      </c>
      <c r="U120" s="232" t="s">
        <v>317</v>
      </c>
      <c r="V120" s="50" t="s">
        <v>327</v>
      </c>
    </row>
    <row r="121" spans="1:22" x14ac:dyDescent="0.2">
      <c r="A121" s="212">
        <v>103</v>
      </c>
      <c r="B121" s="138" t="s">
        <v>235</v>
      </c>
      <c r="C121" s="137">
        <v>14</v>
      </c>
      <c r="D121" s="137">
        <v>0.2</v>
      </c>
      <c r="E121" s="152" t="s">
        <v>5</v>
      </c>
      <c r="F121" s="152" t="s">
        <v>3</v>
      </c>
      <c r="G121" s="139">
        <v>1</v>
      </c>
      <c r="H121" s="138">
        <f t="shared" si="19"/>
        <v>11.200000000000001</v>
      </c>
      <c r="I121" s="138">
        <f t="shared" si="23"/>
        <v>0.4</v>
      </c>
      <c r="J121" s="201">
        <f>H121*I121</f>
        <v>4.4800000000000004</v>
      </c>
      <c r="K121" s="50">
        <f t="shared" si="14"/>
        <v>0.4</v>
      </c>
      <c r="L121" s="50">
        <f t="shared" si="21"/>
        <v>0.2</v>
      </c>
      <c r="U121" s="232" t="s">
        <v>317</v>
      </c>
      <c r="V121" s="50" t="s">
        <v>327</v>
      </c>
    </row>
    <row r="122" spans="1:22" x14ac:dyDescent="0.2">
      <c r="A122" s="200">
        <v>104</v>
      </c>
      <c r="B122" s="138" t="s">
        <v>234</v>
      </c>
      <c r="C122" s="137">
        <v>100</v>
      </c>
      <c r="D122" s="137">
        <v>0.2</v>
      </c>
      <c r="E122" s="158" t="s">
        <v>192</v>
      </c>
      <c r="F122" s="153" t="s">
        <v>3</v>
      </c>
      <c r="G122" s="139">
        <v>2</v>
      </c>
      <c r="H122" s="138">
        <f t="shared" si="19"/>
        <v>160</v>
      </c>
      <c r="I122" s="138">
        <f t="shared" si="23"/>
        <v>0.4</v>
      </c>
      <c r="J122" s="201">
        <f>H122*I122</f>
        <v>64</v>
      </c>
      <c r="K122" s="50">
        <f t="shared" si="14"/>
        <v>0.4</v>
      </c>
      <c r="L122" s="50">
        <f t="shared" si="21"/>
        <v>0.2</v>
      </c>
      <c r="U122" s="232" t="s">
        <v>317</v>
      </c>
      <c r="V122" s="50" t="s">
        <v>327</v>
      </c>
    </row>
    <row r="123" spans="1:22" ht="15.75" x14ac:dyDescent="0.2">
      <c r="A123" s="200"/>
      <c r="B123" s="192" t="s">
        <v>49</v>
      </c>
      <c r="C123" s="137"/>
      <c r="D123" s="137"/>
      <c r="E123" s="152"/>
      <c r="F123" s="152"/>
      <c r="G123" s="139"/>
      <c r="H123" s="137"/>
      <c r="I123" s="137"/>
      <c r="J123" s="201"/>
      <c r="K123" s="50">
        <f t="shared" si="14"/>
        <v>0.4</v>
      </c>
      <c r="L123" s="50">
        <f t="shared" si="21"/>
        <v>0.2</v>
      </c>
      <c r="U123" s="232"/>
    </row>
    <row r="124" spans="1:22" s="2" customFormat="1" ht="12" customHeight="1" x14ac:dyDescent="0.2">
      <c r="A124" s="212">
        <v>105</v>
      </c>
      <c r="B124" s="255" t="s">
        <v>168</v>
      </c>
      <c r="C124" s="6">
        <v>442</v>
      </c>
      <c r="D124" s="6">
        <v>0</v>
      </c>
      <c r="E124" s="214" t="s">
        <v>5</v>
      </c>
      <c r="F124" s="249" t="s">
        <v>34</v>
      </c>
      <c r="G124" s="215">
        <v>0.1</v>
      </c>
      <c r="H124" s="213">
        <f>C124*G124*(1-D124)</f>
        <v>44.2</v>
      </c>
      <c r="I124" s="213">
        <v>0.51</v>
      </c>
      <c r="J124" s="216">
        <f t="shared" si="15"/>
        <v>22.542000000000002</v>
      </c>
      <c r="K124" s="140">
        <f t="shared" si="14"/>
        <v>0.4</v>
      </c>
      <c r="L124" s="140">
        <f t="shared" si="21"/>
        <v>0.2</v>
      </c>
      <c r="U124" s="233" t="s">
        <v>325</v>
      </c>
      <c r="V124" s="140" t="s">
        <v>327</v>
      </c>
    </row>
    <row r="125" spans="1:22" s="2" customFormat="1" x14ac:dyDescent="0.2">
      <c r="A125" s="212">
        <v>106</v>
      </c>
      <c r="B125" s="255" t="s">
        <v>209</v>
      </c>
      <c r="C125" s="6">
        <v>100</v>
      </c>
      <c r="D125" s="6">
        <v>0</v>
      </c>
      <c r="E125" s="248" t="s">
        <v>192</v>
      </c>
      <c r="F125" s="249" t="s">
        <v>34</v>
      </c>
      <c r="G125" s="215">
        <v>4</v>
      </c>
      <c r="H125" s="213">
        <f t="shared" ref="H125:H142" si="24">C125*G125*(1-D125)</f>
        <v>400</v>
      </c>
      <c r="I125" s="213">
        <v>0.51</v>
      </c>
      <c r="J125" s="216">
        <f t="shared" si="15"/>
        <v>204</v>
      </c>
      <c r="K125" s="140">
        <f t="shared" si="14"/>
        <v>0.4</v>
      </c>
      <c r="L125" s="140">
        <f t="shared" si="21"/>
        <v>0.2</v>
      </c>
      <c r="U125" s="233" t="s">
        <v>325</v>
      </c>
      <c r="V125" s="140" t="s">
        <v>327</v>
      </c>
    </row>
    <row r="126" spans="1:22" s="2" customFormat="1" x14ac:dyDescent="0.2">
      <c r="A126" s="212">
        <v>107</v>
      </c>
      <c r="B126" s="255" t="s">
        <v>210</v>
      </c>
      <c r="C126" s="6">
        <v>100</v>
      </c>
      <c r="D126" s="6">
        <v>0</v>
      </c>
      <c r="E126" s="248" t="s">
        <v>192</v>
      </c>
      <c r="F126" s="214" t="s">
        <v>3</v>
      </c>
      <c r="G126" s="215">
        <v>4</v>
      </c>
      <c r="H126" s="213">
        <f t="shared" si="24"/>
        <v>400</v>
      </c>
      <c r="I126" s="213">
        <v>1.028</v>
      </c>
      <c r="J126" s="216">
        <f t="shared" si="15"/>
        <v>411.2</v>
      </c>
      <c r="K126" s="140">
        <f t="shared" si="14"/>
        <v>0.4</v>
      </c>
      <c r="L126" s="140">
        <f t="shared" si="21"/>
        <v>0.2</v>
      </c>
      <c r="U126" s="233" t="s">
        <v>324</v>
      </c>
      <c r="V126" s="140" t="s">
        <v>327</v>
      </c>
    </row>
    <row r="127" spans="1:22" s="2" customFormat="1" x14ac:dyDescent="0.2">
      <c r="A127" s="212">
        <v>108</v>
      </c>
      <c r="B127" s="255" t="s">
        <v>211</v>
      </c>
      <c r="C127" s="6">
        <v>100</v>
      </c>
      <c r="D127" s="6">
        <v>0</v>
      </c>
      <c r="E127" s="248" t="s">
        <v>192</v>
      </c>
      <c r="F127" s="214" t="s">
        <v>3</v>
      </c>
      <c r="G127" s="215">
        <v>4</v>
      </c>
      <c r="H127" s="213">
        <f>C127*G127*(1-D127)</f>
        <v>400</v>
      </c>
      <c r="I127" s="213">
        <v>1.028</v>
      </c>
      <c r="J127" s="216">
        <f t="shared" si="15"/>
        <v>411.2</v>
      </c>
      <c r="K127" s="140">
        <f t="shared" si="14"/>
        <v>0.4</v>
      </c>
      <c r="L127" s="140">
        <f t="shared" si="21"/>
        <v>0.2</v>
      </c>
      <c r="U127" s="233" t="s">
        <v>324</v>
      </c>
      <c r="V127" s="140" t="s">
        <v>327</v>
      </c>
    </row>
    <row r="128" spans="1:22" s="2" customFormat="1" ht="12.75" customHeight="1" x14ac:dyDescent="0.2">
      <c r="A128" s="212">
        <v>109</v>
      </c>
      <c r="B128" s="255" t="s">
        <v>169</v>
      </c>
      <c r="C128" s="6">
        <v>200</v>
      </c>
      <c r="D128" s="6">
        <v>0</v>
      </c>
      <c r="E128" s="214"/>
      <c r="F128" s="214" t="s">
        <v>3</v>
      </c>
      <c r="G128" s="215">
        <v>1</v>
      </c>
      <c r="H128" s="213">
        <f t="shared" si="24"/>
        <v>200</v>
      </c>
      <c r="I128" s="6">
        <v>1.7</v>
      </c>
      <c r="J128" s="216">
        <f t="shared" si="15"/>
        <v>340</v>
      </c>
      <c r="K128" s="140">
        <f t="shared" si="14"/>
        <v>0.4</v>
      </c>
      <c r="L128" s="140">
        <f t="shared" si="21"/>
        <v>0.2</v>
      </c>
      <c r="U128" s="233" t="s">
        <v>318</v>
      </c>
      <c r="V128" s="140" t="s">
        <v>327</v>
      </c>
    </row>
    <row r="129" spans="1:22" s="2" customFormat="1" ht="25.5" x14ac:dyDescent="0.2">
      <c r="A129" s="212">
        <v>110</v>
      </c>
      <c r="B129" s="255" t="s">
        <v>148</v>
      </c>
      <c r="C129" s="6">
        <v>87</v>
      </c>
      <c r="D129" s="6">
        <v>0</v>
      </c>
      <c r="E129" s="214" t="s">
        <v>5</v>
      </c>
      <c r="F129" s="249" t="s">
        <v>34</v>
      </c>
      <c r="G129" s="215">
        <v>0.5</v>
      </c>
      <c r="H129" s="213">
        <f t="shared" si="24"/>
        <v>43.5</v>
      </c>
      <c r="I129" s="213">
        <v>0.51</v>
      </c>
      <c r="J129" s="216">
        <f t="shared" si="15"/>
        <v>22.184999999999999</v>
      </c>
      <c r="K129" s="140">
        <f t="shared" si="14"/>
        <v>0.4</v>
      </c>
      <c r="L129" s="140">
        <f t="shared" si="21"/>
        <v>0.2</v>
      </c>
      <c r="U129" s="233" t="s">
        <v>325</v>
      </c>
      <c r="V129" s="140" t="s">
        <v>327</v>
      </c>
    </row>
    <row r="130" spans="1:22" s="2" customFormat="1" ht="25.5" x14ac:dyDescent="0.2">
      <c r="A130" s="212">
        <v>111</v>
      </c>
      <c r="B130" s="255" t="s">
        <v>276</v>
      </c>
      <c r="C130" s="6">
        <v>165</v>
      </c>
      <c r="D130" s="6">
        <v>0</v>
      </c>
      <c r="E130" s="248" t="s">
        <v>192</v>
      </c>
      <c r="F130" s="214" t="s">
        <v>3</v>
      </c>
      <c r="G130" s="215">
        <v>20</v>
      </c>
      <c r="H130" s="213">
        <f t="shared" si="24"/>
        <v>3300</v>
      </c>
      <c r="I130" s="6">
        <v>1.028</v>
      </c>
      <c r="J130" s="216">
        <f t="shared" si="15"/>
        <v>3392.4</v>
      </c>
      <c r="K130" s="140">
        <f t="shared" si="14"/>
        <v>0.4</v>
      </c>
      <c r="L130" s="140">
        <f t="shared" si="21"/>
        <v>0.2</v>
      </c>
      <c r="U130" s="233" t="s">
        <v>324</v>
      </c>
      <c r="V130" s="140" t="s">
        <v>327</v>
      </c>
    </row>
    <row r="131" spans="1:22" s="2" customFormat="1" ht="25.5" x14ac:dyDescent="0.2">
      <c r="A131" s="212">
        <v>112</v>
      </c>
      <c r="B131" s="255" t="s">
        <v>277</v>
      </c>
      <c r="C131" s="213">
        <v>76</v>
      </c>
      <c r="D131" s="6">
        <v>0</v>
      </c>
      <c r="E131" s="248" t="s">
        <v>192</v>
      </c>
      <c r="F131" s="214" t="s">
        <v>3</v>
      </c>
      <c r="G131" s="215">
        <v>1</v>
      </c>
      <c r="H131" s="213">
        <f t="shared" si="24"/>
        <v>76</v>
      </c>
      <c r="I131" s="6">
        <v>1.028</v>
      </c>
      <c r="J131" s="216">
        <f t="shared" si="15"/>
        <v>78.128</v>
      </c>
      <c r="K131" s="140">
        <f t="shared" si="14"/>
        <v>0.4</v>
      </c>
      <c r="L131" s="140">
        <f t="shared" si="21"/>
        <v>0.2</v>
      </c>
      <c r="U131" s="233" t="s">
        <v>324</v>
      </c>
      <c r="V131" s="140" t="s">
        <v>327</v>
      </c>
    </row>
    <row r="132" spans="1:22" s="2" customFormat="1" ht="12.75" customHeight="1" x14ac:dyDescent="0.2">
      <c r="A132" s="212">
        <v>113</v>
      </c>
      <c r="B132" s="255" t="s">
        <v>335</v>
      </c>
      <c r="C132" s="6">
        <v>454.3</v>
      </c>
      <c r="D132" s="6">
        <v>0</v>
      </c>
      <c r="E132" s="214"/>
      <c r="F132" s="214" t="s">
        <v>3</v>
      </c>
      <c r="G132" s="215">
        <v>4</v>
      </c>
      <c r="H132" s="213">
        <f t="shared" si="24"/>
        <v>1817.2</v>
      </c>
      <c r="I132" s="6">
        <v>1.7</v>
      </c>
      <c r="J132" s="216">
        <f>H132*I132</f>
        <v>3089.24</v>
      </c>
      <c r="K132" s="140">
        <f t="shared" si="14"/>
        <v>0.4</v>
      </c>
      <c r="L132" s="140">
        <f t="shared" si="21"/>
        <v>0.2</v>
      </c>
      <c r="U132" s="233" t="s">
        <v>318</v>
      </c>
      <c r="V132" s="140" t="s">
        <v>327</v>
      </c>
    </row>
    <row r="133" spans="1:22" s="2" customFormat="1" x14ac:dyDescent="0.2">
      <c r="A133" s="212">
        <v>114</v>
      </c>
      <c r="B133" s="255" t="s">
        <v>153</v>
      </c>
      <c r="C133" s="6">
        <v>120</v>
      </c>
      <c r="D133" s="6">
        <v>0</v>
      </c>
      <c r="E133" s="248" t="s">
        <v>192</v>
      </c>
      <c r="F133" s="249" t="s">
        <v>34</v>
      </c>
      <c r="G133" s="215">
        <v>0.5</v>
      </c>
      <c r="H133" s="213">
        <f t="shared" si="24"/>
        <v>60</v>
      </c>
      <c r="I133" s="213">
        <v>0.51</v>
      </c>
      <c r="J133" s="216">
        <f t="shared" si="15"/>
        <v>30.6</v>
      </c>
      <c r="K133" s="140">
        <f t="shared" si="14"/>
        <v>0.4</v>
      </c>
      <c r="L133" s="140">
        <f t="shared" si="21"/>
        <v>0.2</v>
      </c>
      <c r="U133" s="233" t="s">
        <v>325</v>
      </c>
      <c r="V133" s="140" t="s">
        <v>327</v>
      </c>
    </row>
    <row r="134" spans="1:22" s="2" customFormat="1" ht="25.5" x14ac:dyDescent="0.2">
      <c r="A134" s="212">
        <v>115</v>
      </c>
      <c r="B134" s="255" t="s">
        <v>149</v>
      </c>
      <c r="C134" s="6">
        <v>45</v>
      </c>
      <c r="D134" s="6">
        <v>0</v>
      </c>
      <c r="E134" s="248" t="s">
        <v>192</v>
      </c>
      <c r="F134" s="249" t="s">
        <v>34</v>
      </c>
      <c r="G134" s="215">
        <v>1</v>
      </c>
      <c r="H134" s="213">
        <f t="shared" si="24"/>
        <v>45</v>
      </c>
      <c r="I134" s="213">
        <v>0.51</v>
      </c>
      <c r="J134" s="216">
        <f t="shared" si="15"/>
        <v>22.95</v>
      </c>
      <c r="K134" s="140">
        <f t="shared" si="14"/>
        <v>0.4</v>
      </c>
      <c r="L134" s="140">
        <f t="shared" si="21"/>
        <v>0.2</v>
      </c>
      <c r="U134" s="233" t="s">
        <v>325</v>
      </c>
      <c r="V134" s="140" t="s">
        <v>327</v>
      </c>
    </row>
    <row r="135" spans="1:22" s="2" customFormat="1" ht="14.25" customHeight="1" x14ac:dyDescent="0.2">
      <c r="A135" s="212">
        <v>116</v>
      </c>
      <c r="B135" s="255" t="s">
        <v>150</v>
      </c>
      <c r="C135" s="6">
        <v>158</v>
      </c>
      <c r="D135" s="6">
        <v>0</v>
      </c>
      <c r="E135" s="248" t="s">
        <v>192</v>
      </c>
      <c r="F135" s="249" t="s">
        <v>34</v>
      </c>
      <c r="G135" s="215">
        <v>0.5</v>
      </c>
      <c r="H135" s="213">
        <f t="shared" si="24"/>
        <v>79</v>
      </c>
      <c r="I135" s="213">
        <v>0.51</v>
      </c>
      <c r="J135" s="216">
        <f t="shared" ref="J135:J142" si="25">H135*I135</f>
        <v>40.29</v>
      </c>
      <c r="K135" s="140">
        <f t="shared" si="14"/>
        <v>0.4</v>
      </c>
      <c r="L135" s="140">
        <f t="shared" si="21"/>
        <v>0.2</v>
      </c>
      <c r="U135" s="233" t="s">
        <v>325</v>
      </c>
      <c r="V135" s="140" t="s">
        <v>327</v>
      </c>
    </row>
    <row r="136" spans="1:22" s="2" customFormat="1" ht="14.25" customHeight="1" x14ac:dyDescent="0.2">
      <c r="A136" s="278">
        <v>117</v>
      </c>
      <c r="B136" s="271" t="s">
        <v>50</v>
      </c>
      <c r="C136" s="272">
        <v>288</v>
      </c>
      <c r="D136" s="272">
        <v>0</v>
      </c>
      <c r="E136" s="273" t="s">
        <v>192</v>
      </c>
      <c r="F136" s="279" t="s">
        <v>3</v>
      </c>
      <c r="G136" s="275">
        <v>0.33</v>
      </c>
      <c r="H136" s="276">
        <f t="shared" si="24"/>
        <v>95.04</v>
      </c>
      <c r="I136" s="272">
        <v>1.028</v>
      </c>
      <c r="J136" s="277">
        <f t="shared" si="25"/>
        <v>97.701120000000003</v>
      </c>
      <c r="K136" s="140">
        <f t="shared" ref="K136:K142" si="26">IF(D136&gt;=O$11,IF(D136&lt;=O$12,O$13,0),0)+IF(D136&gt;=P$11,IF(D136&lt;=P$12,P$13,0),0)+IF(D136&gt;=Q$11,IF(D136&lt;=Q$12,Q$13,0),0)+IF(D136&gt;=R$11,IF(D136&lt;=R$12,R$13,0),0)</f>
        <v>0.4</v>
      </c>
      <c r="L136" s="140">
        <f t="shared" si="21"/>
        <v>0.2</v>
      </c>
      <c r="U136" s="233" t="s">
        <v>325</v>
      </c>
      <c r="V136" s="140" t="s">
        <v>327</v>
      </c>
    </row>
    <row r="137" spans="1:22" s="2" customFormat="1" ht="14.25" customHeight="1" x14ac:dyDescent="0.2">
      <c r="A137" s="212">
        <v>118</v>
      </c>
      <c r="B137" s="271" t="s">
        <v>50</v>
      </c>
      <c r="C137" s="272">
        <v>288</v>
      </c>
      <c r="D137" s="272">
        <v>0</v>
      </c>
      <c r="E137" s="273" t="s">
        <v>192</v>
      </c>
      <c r="F137" s="274" t="s">
        <v>34</v>
      </c>
      <c r="G137" s="275">
        <v>1</v>
      </c>
      <c r="H137" s="276">
        <f t="shared" ref="H137" si="27">C137*G137*(1-D137)</f>
        <v>288</v>
      </c>
      <c r="I137" s="276">
        <v>0.51</v>
      </c>
      <c r="J137" s="277">
        <f t="shared" ref="J137" si="28">H137*I137</f>
        <v>146.88</v>
      </c>
      <c r="K137" s="140"/>
      <c r="L137" s="140"/>
      <c r="U137" s="233"/>
      <c r="V137" s="140"/>
    </row>
    <row r="138" spans="1:22" s="2" customFormat="1" ht="25.5" x14ac:dyDescent="0.2">
      <c r="A138" s="212">
        <v>119</v>
      </c>
      <c r="B138" s="255" t="s">
        <v>170</v>
      </c>
      <c r="C138" s="6">
        <v>185.2</v>
      </c>
      <c r="D138" s="6">
        <v>0</v>
      </c>
      <c r="E138" s="248" t="s">
        <v>192</v>
      </c>
      <c r="F138" s="214" t="s">
        <v>3</v>
      </c>
      <c r="G138" s="215">
        <v>4</v>
      </c>
      <c r="H138" s="213">
        <f t="shared" si="24"/>
        <v>740.8</v>
      </c>
      <c r="I138" s="6">
        <v>1.028</v>
      </c>
      <c r="J138" s="216">
        <f t="shared" si="25"/>
        <v>761.54239999999993</v>
      </c>
      <c r="K138" s="140">
        <f t="shared" si="26"/>
        <v>0.4</v>
      </c>
      <c r="L138" s="140">
        <f t="shared" si="21"/>
        <v>0.2</v>
      </c>
      <c r="U138" s="233" t="s">
        <v>324</v>
      </c>
      <c r="V138" s="140" t="s">
        <v>327</v>
      </c>
    </row>
    <row r="139" spans="1:22" s="2" customFormat="1" ht="25.5" x14ac:dyDescent="0.2">
      <c r="A139" s="212">
        <v>120</v>
      </c>
      <c r="B139" s="255" t="s">
        <v>236</v>
      </c>
      <c r="C139" s="6">
        <v>78.400000000000006</v>
      </c>
      <c r="D139" s="6">
        <v>0</v>
      </c>
      <c r="E139" s="248" t="s">
        <v>192</v>
      </c>
      <c r="F139" s="214" t="s">
        <v>3</v>
      </c>
      <c r="G139" s="215">
        <v>1</v>
      </c>
      <c r="H139" s="213">
        <f t="shared" si="24"/>
        <v>78.400000000000006</v>
      </c>
      <c r="I139" s="6">
        <v>1.028</v>
      </c>
      <c r="J139" s="216">
        <f>H139*I139</f>
        <v>80.595200000000006</v>
      </c>
      <c r="K139" s="140">
        <f t="shared" si="26"/>
        <v>0.4</v>
      </c>
      <c r="L139" s="140">
        <f t="shared" si="21"/>
        <v>0.2</v>
      </c>
      <c r="U139" s="233" t="s">
        <v>324</v>
      </c>
      <c r="V139" s="140" t="s">
        <v>327</v>
      </c>
    </row>
    <row r="140" spans="1:22" s="2" customFormat="1" ht="24" customHeight="1" x14ac:dyDescent="0.2">
      <c r="A140" s="212">
        <v>121</v>
      </c>
      <c r="B140" s="255" t="s">
        <v>152</v>
      </c>
      <c r="C140" s="6">
        <v>320</v>
      </c>
      <c r="D140" s="6">
        <v>0</v>
      </c>
      <c r="E140" s="248" t="s">
        <v>192</v>
      </c>
      <c r="F140" s="214" t="s">
        <v>3</v>
      </c>
      <c r="G140" s="215">
        <v>4</v>
      </c>
      <c r="H140" s="213">
        <f t="shared" si="24"/>
        <v>1280</v>
      </c>
      <c r="I140" s="6">
        <v>1.028</v>
      </c>
      <c r="J140" s="216">
        <f t="shared" si="25"/>
        <v>1315.8400000000001</v>
      </c>
      <c r="K140" s="140">
        <f t="shared" si="26"/>
        <v>0.4</v>
      </c>
      <c r="L140" s="140">
        <f t="shared" si="21"/>
        <v>0.2</v>
      </c>
      <c r="U140" s="233" t="s">
        <v>324</v>
      </c>
      <c r="V140" s="140" t="s">
        <v>327</v>
      </c>
    </row>
    <row r="141" spans="1:22" s="2" customFormat="1" ht="25.5" customHeight="1" x14ac:dyDescent="0.2">
      <c r="A141" s="212">
        <v>122</v>
      </c>
      <c r="B141" s="255" t="s">
        <v>151</v>
      </c>
      <c r="C141" s="6">
        <v>141</v>
      </c>
      <c r="D141" s="6">
        <v>0</v>
      </c>
      <c r="E141" s="248" t="s">
        <v>192</v>
      </c>
      <c r="F141" s="214" t="s">
        <v>3</v>
      </c>
      <c r="G141" s="215">
        <v>4</v>
      </c>
      <c r="H141" s="213">
        <f t="shared" si="24"/>
        <v>564</v>
      </c>
      <c r="I141" s="6">
        <v>1.028</v>
      </c>
      <c r="J141" s="216">
        <f t="shared" si="25"/>
        <v>579.79200000000003</v>
      </c>
      <c r="K141" s="140">
        <f t="shared" si="26"/>
        <v>0.4</v>
      </c>
      <c r="L141" s="140">
        <f t="shared" si="21"/>
        <v>0.2</v>
      </c>
      <c r="U141" s="233" t="s">
        <v>324</v>
      </c>
      <c r="V141" s="140" t="s">
        <v>327</v>
      </c>
    </row>
    <row r="142" spans="1:22" ht="13.5" customHeight="1" x14ac:dyDescent="0.2">
      <c r="A142" s="212">
        <v>122</v>
      </c>
      <c r="B142" s="194" t="s">
        <v>233</v>
      </c>
      <c r="C142" s="137">
        <v>192</v>
      </c>
      <c r="D142" s="137">
        <v>0.3</v>
      </c>
      <c r="E142" s="158" t="s">
        <v>192</v>
      </c>
      <c r="F142" s="152" t="s">
        <v>3</v>
      </c>
      <c r="G142" s="139">
        <v>1</v>
      </c>
      <c r="H142" s="138">
        <f t="shared" si="24"/>
        <v>134.39999999999998</v>
      </c>
      <c r="I142" s="138">
        <f>IF(F142=K$13,K142,IF(F142=L$13,L142,"-"))</f>
        <v>0.47899999999999998</v>
      </c>
      <c r="J142" s="201">
        <f t="shared" si="25"/>
        <v>64.377599999999987</v>
      </c>
      <c r="K142" s="50">
        <f t="shared" si="26"/>
        <v>0.47899999999999998</v>
      </c>
      <c r="L142" s="50">
        <f t="shared" si="21"/>
        <v>0.24</v>
      </c>
      <c r="U142" s="232" t="s">
        <v>321</v>
      </c>
      <c r="V142" s="50" t="s">
        <v>327</v>
      </c>
    </row>
    <row r="143" spans="1:22" ht="13.5" customHeight="1" thickBot="1" x14ac:dyDescent="0.25">
      <c r="A143" s="203"/>
      <c r="B143" s="204" t="s">
        <v>178</v>
      </c>
      <c r="C143" s="205">
        <f>SUM(C14:C142)</f>
        <v>40758.100000000006</v>
      </c>
      <c r="D143" s="205"/>
      <c r="E143" s="206"/>
      <c r="F143" s="206"/>
      <c r="G143" s="207"/>
      <c r="H143" s="207"/>
      <c r="I143" s="207"/>
      <c r="J143" s="208">
        <f>SUM(J14:J142)</f>
        <v>49177.097633999983</v>
      </c>
    </row>
    <row r="144" spans="1:22" ht="14.25" x14ac:dyDescent="0.2">
      <c r="A144" s="70"/>
      <c r="B144" s="89" t="s">
        <v>82</v>
      </c>
      <c r="C144" s="71"/>
      <c r="D144" s="71"/>
      <c r="E144" s="71"/>
      <c r="F144" s="72"/>
      <c r="G144" s="73"/>
      <c r="H144" s="73"/>
      <c r="I144" s="90">
        <f>J143*6.5/100</f>
        <v>3196.5113462099994</v>
      </c>
      <c r="J144" s="100">
        <f>J143*0.065</f>
        <v>3196.5113462099989</v>
      </c>
    </row>
    <row r="145" spans="1:10" ht="14.25" x14ac:dyDescent="0.2">
      <c r="A145" s="74"/>
      <c r="B145" s="91" t="s">
        <v>83</v>
      </c>
      <c r="C145" s="75"/>
      <c r="D145" s="75"/>
      <c r="E145" s="75"/>
      <c r="F145" s="76"/>
      <c r="G145" s="77"/>
      <c r="H145" s="78"/>
      <c r="I145" s="92">
        <f>J143*5/100</f>
        <v>2458.8548816999992</v>
      </c>
      <c r="J145" s="101">
        <f>J143*0.05</f>
        <v>2458.8548816999992</v>
      </c>
    </row>
    <row r="146" spans="1:10" ht="15" thickBot="1" x14ac:dyDescent="0.25">
      <c r="A146" s="93"/>
      <c r="B146" s="94" t="s">
        <v>180</v>
      </c>
      <c r="C146" s="95"/>
      <c r="D146" s="95"/>
      <c r="E146" s="95"/>
      <c r="F146" s="96"/>
      <c r="G146" s="97"/>
      <c r="H146" s="98"/>
      <c r="I146" s="99">
        <f>J143+I144+I145</f>
        <v>54832.463861909979</v>
      </c>
      <c r="J146" s="102">
        <f>SUM(J143:J145)</f>
        <v>54832.463861909979</v>
      </c>
    </row>
    <row r="147" spans="1:10" ht="12.75" customHeight="1" x14ac:dyDescent="0.2">
      <c r="B147" s="59"/>
      <c r="C147" s="13"/>
      <c r="D147" s="13"/>
      <c r="E147" s="13"/>
      <c r="F147" s="14"/>
      <c r="H147" s="2"/>
      <c r="I147" s="2"/>
      <c r="J147" s="2"/>
    </row>
    <row r="148" spans="1:10" ht="14.25" hidden="1" x14ac:dyDescent="0.2">
      <c r="B148" s="59"/>
      <c r="C148" s="13"/>
      <c r="D148" s="13"/>
      <c r="E148" s="13"/>
      <c r="F148" s="14"/>
      <c r="H148" s="2"/>
      <c r="I148" s="2"/>
      <c r="J148" s="2"/>
    </row>
    <row r="149" spans="1:10" ht="14.25" hidden="1" x14ac:dyDescent="0.2">
      <c r="B149" s="59" t="s">
        <v>116</v>
      </c>
      <c r="C149" s="103"/>
      <c r="D149" s="103"/>
      <c r="E149" s="13"/>
      <c r="F149" s="14"/>
      <c r="H149" s="2"/>
      <c r="I149" s="2"/>
      <c r="J149" s="2"/>
    </row>
    <row r="150" spans="1:10" ht="14.25" hidden="1" x14ac:dyDescent="0.2">
      <c r="B150" s="59"/>
      <c r="C150" s="13"/>
      <c r="D150" s="13"/>
      <c r="E150" s="13"/>
      <c r="F150" s="14"/>
      <c r="H150" s="2"/>
      <c r="I150" s="2"/>
      <c r="J150" s="2"/>
    </row>
    <row r="151" spans="1:10" hidden="1" x14ac:dyDescent="0.2">
      <c r="E151" s="8"/>
      <c r="H151" s="2"/>
      <c r="I151" s="2"/>
      <c r="J151" s="2"/>
    </row>
    <row r="152" spans="1:10" ht="15" x14ac:dyDescent="0.25">
      <c r="B152" s="140"/>
      <c r="C152" s="49" t="s">
        <v>212</v>
      </c>
      <c r="D152" s="49"/>
      <c r="E152" s="49"/>
      <c r="F152" s="49"/>
      <c r="G152" s="49"/>
      <c r="H152" s="49"/>
      <c r="I152" s="49" t="s">
        <v>187</v>
      </c>
      <c r="J152" s="2"/>
    </row>
    <row r="153" spans="1:10" ht="15" x14ac:dyDescent="0.25">
      <c r="B153" s="140"/>
      <c r="C153" s="49"/>
      <c r="D153" s="49"/>
      <c r="E153" s="49"/>
      <c r="F153" s="49"/>
      <c r="G153" s="49"/>
      <c r="H153" s="49"/>
      <c r="I153" s="49"/>
      <c r="J153" s="2"/>
    </row>
    <row r="154" spans="1:10" ht="15" x14ac:dyDescent="0.25">
      <c r="B154" s="140"/>
      <c r="C154" s="49" t="s">
        <v>400</v>
      </c>
      <c r="D154" s="49"/>
      <c r="E154" s="49"/>
      <c r="F154" s="49"/>
      <c r="G154" s="49"/>
      <c r="H154" s="49"/>
      <c r="I154" s="49" t="s">
        <v>191</v>
      </c>
      <c r="J154" s="2"/>
    </row>
    <row r="155" spans="1:10" ht="15" x14ac:dyDescent="0.25">
      <c r="B155" s="140"/>
      <c r="C155" s="49"/>
      <c r="D155" s="49"/>
      <c r="E155" s="49"/>
      <c r="F155" s="49"/>
      <c r="G155" s="49"/>
      <c r="H155" s="49"/>
      <c r="I155" s="49"/>
      <c r="J155" s="2"/>
    </row>
    <row r="156" spans="1:10" ht="15" x14ac:dyDescent="0.25">
      <c r="B156" s="140"/>
      <c r="C156" s="49" t="s">
        <v>401</v>
      </c>
      <c r="D156" s="49"/>
      <c r="E156" s="49"/>
      <c r="F156" s="49"/>
      <c r="G156" s="49"/>
      <c r="H156" s="49"/>
      <c r="I156" s="49" t="s">
        <v>402</v>
      </c>
      <c r="J156" s="2"/>
    </row>
    <row r="157" spans="1:10" ht="15" x14ac:dyDescent="0.25">
      <c r="B157" s="140"/>
      <c r="C157" s="49"/>
      <c r="D157" s="49"/>
      <c r="E157" s="49"/>
      <c r="F157" s="49"/>
      <c r="G157" s="49"/>
      <c r="H157" s="49"/>
      <c r="I157" s="49"/>
      <c r="J157" s="2"/>
    </row>
    <row r="158" spans="1:10" ht="15" x14ac:dyDescent="0.25">
      <c r="B158" s="140"/>
      <c r="C158" s="49" t="s">
        <v>389</v>
      </c>
      <c r="D158" s="49"/>
      <c r="E158" s="49"/>
      <c r="F158" s="49"/>
      <c r="G158" s="49"/>
      <c r="H158" s="49"/>
      <c r="I158" s="49" t="s">
        <v>278</v>
      </c>
      <c r="J158" s="2"/>
    </row>
    <row r="159" spans="1:10" x14ac:dyDescent="0.2">
      <c r="H159"/>
      <c r="I159"/>
      <c r="J159"/>
    </row>
    <row r="160" spans="1:10" ht="15" x14ac:dyDescent="0.25">
      <c r="C160" s="49" t="s">
        <v>390</v>
      </c>
      <c r="D160" s="49"/>
      <c r="E160" s="49"/>
      <c r="F160" s="49"/>
      <c r="G160" s="49"/>
      <c r="H160" s="49"/>
      <c r="I160" s="49" t="s">
        <v>393</v>
      </c>
      <c r="J160"/>
    </row>
    <row r="161" spans="3:13" x14ac:dyDescent="0.2">
      <c r="H161"/>
      <c r="I161"/>
      <c r="J161"/>
    </row>
    <row r="162" spans="3:13" ht="15" x14ac:dyDescent="0.25">
      <c r="C162" s="49" t="s">
        <v>391</v>
      </c>
      <c r="D162" s="49"/>
      <c r="E162" s="49"/>
      <c r="F162" s="49"/>
      <c r="G162" s="49"/>
      <c r="H162" s="49"/>
      <c r="I162" s="49" t="s">
        <v>394</v>
      </c>
      <c r="J162"/>
    </row>
    <row r="163" spans="3:13" x14ac:dyDescent="0.2">
      <c r="H163"/>
      <c r="I163"/>
      <c r="J163"/>
    </row>
    <row r="164" spans="3:13" ht="15" x14ac:dyDescent="0.25">
      <c r="C164" s="49" t="s">
        <v>392</v>
      </c>
      <c r="D164" s="49"/>
      <c r="E164" s="49"/>
      <c r="F164" s="49"/>
      <c r="G164" s="49"/>
      <c r="H164" s="49"/>
      <c r="I164" s="49" t="s">
        <v>395</v>
      </c>
      <c r="J164"/>
    </row>
    <row r="165" spans="3:13" x14ac:dyDescent="0.2">
      <c r="H165"/>
      <c r="I165"/>
      <c r="J165"/>
    </row>
    <row r="166" spans="3:13" ht="15" x14ac:dyDescent="0.25">
      <c r="C166" s="1" t="s">
        <v>396</v>
      </c>
      <c r="H166"/>
      <c r="I166" s="49" t="s">
        <v>397</v>
      </c>
      <c r="J166"/>
    </row>
    <row r="167" spans="3:13" x14ac:dyDescent="0.2">
      <c r="H167"/>
      <c r="I167"/>
      <c r="J167"/>
    </row>
    <row r="168" spans="3:13" ht="15" x14ac:dyDescent="0.25">
      <c r="C168" s="1" t="s">
        <v>398</v>
      </c>
      <c r="H168"/>
      <c r="I168" s="49" t="s">
        <v>399</v>
      </c>
      <c r="J168"/>
    </row>
    <row r="169" spans="3:13" x14ac:dyDescent="0.2">
      <c r="H169"/>
      <c r="I169"/>
      <c r="J169"/>
      <c r="K169"/>
      <c r="L169"/>
      <c r="M169"/>
    </row>
    <row r="170" spans="3:13" x14ac:dyDescent="0.2">
      <c r="H170"/>
      <c r="I170"/>
      <c r="J170"/>
      <c r="K170"/>
      <c r="L170"/>
      <c r="M170"/>
    </row>
    <row r="171" spans="3:13" x14ac:dyDescent="0.2">
      <c r="H171"/>
      <c r="I171"/>
      <c r="J171"/>
      <c r="K171"/>
      <c r="L171"/>
      <c r="M171"/>
    </row>
    <row r="172" spans="3:13" x14ac:dyDescent="0.2">
      <c r="H172"/>
      <c r="I172"/>
      <c r="J172"/>
      <c r="K172"/>
      <c r="L172"/>
      <c r="M172"/>
    </row>
    <row r="173" spans="3:13" x14ac:dyDescent="0.2">
      <c r="H173"/>
      <c r="I173"/>
      <c r="J173"/>
      <c r="K173"/>
      <c r="L173"/>
      <c r="M173"/>
    </row>
    <row r="174" spans="3:13" x14ac:dyDescent="0.2">
      <c r="H174"/>
      <c r="I174"/>
      <c r="J174"/>
      <c r="K174"/>
      <c r="L174"/>
      <c r="M174"/>
    </row>
    <row r="175" spans="3:13" x14ac:dyDescent="0.2">
      <c r="H175"/>
      <c r="I175"/>
      <c r="J175"/>
      <c r="K175"/>
      <c r="L175"/>
      <c r="M175"/>
    </row>
    <row r="176" spans="3:13" x14ac:dyDescent="0.2">
      <c r="H176"/>
      <c r="I176"/>
      <c r="J176"/>
      <c r="K176"/>
      <c r="L176"/>
      <c r="M176"/>
    </row>
    <row r="177" spans="8:13" x14ac:dyDescent="0.2">
      <c r="H177"/>
      <c r="I177"/>
      <c r="J177"/>
      <c r="K177"/>
      <c r="L177"/>
      <c r="M177"/>
    </row>
    <row r="178" spans="8:13" x14ac:dyDescent="0.2">
      <c r="H178"/>
      <c r="I178"/>
      <c r="J178"/>
      <c r="K178"/>
      <c r="L178"/>
      <c r="M178"/>
    </row>
    <row r="179" spans="8:13" x14ac:dyDescent="0.2">
      <c r="H179"/>
      <c r="I179"/>
      <c r="J179"/>
      <c r="K179"/>
      <c r="L179"/>
      <c r="M179"/>
    </row>
  </sheetData>
  <autoFilter ref="A12:V146"/>
  <mergeCells count="14">
    <mergeCell ref="F3:I3"/>
    <mergeCell ref="A7:J7"/>
    <mergeCell ref="A8:J8"/>
    <mergeCell ref="A9:A11"/>
    <mergeCell ref="G9:G11"/>
    <mergeCell ref="H9:H11"/>
    <mergeCell ref="I10:I11"/>
    <mergeCell ref="B9:B11"/>
    <mergeCell ref="C9:C11"/>
    <mergeCell ref="E9:E11"/>
    <mergeCell ref="F9:F11"/>
    <mergeCell ref="J10:J11"/>
    <mergeCell ref="I9:J9"/>
    <mergeCell ref="D9:D11"/>
  </mergeCells>
  <phoneticPr fontId="22" type="noConversion"/>
  <pageMargins left="0.47" right="0.27559055118110237" top="0.24" bottom="0.45" header="0.22" footer="0.24"/>
  <pageSetup paperSize="9" scale="83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170"/>
  <sheetViews>
    <sheetView view="pageBreakPreview" zoomScale="85" zoomScaleNormal="100" zoomScaleSheetLayoutView="85" workbookViewId="0">
      <selection activeCell="G138" sqref="G138"/>
    </sheetView>
  </sheetViews>
  <sheetFormatPr defaultRowHeight="12.75" outlineLevelCol="1" x14ac:dyDescent="0.2"/>
  <cols>
    <col min="1" max="1" width="5.28515625" style="1" customWidth="1"/>
    <col min="2" max="2" width="41.85546875" style="1" customWidth="1"/>
    <col min="3" max="4" width="8.85546875" style="1" customWidth="1"/>
    <col min="5" max="5" width="21" style="1" hidden="1" customWidth="1" outlineLevel="1"/>
    <col min="6" max="6" width="10" style="1" customWidth="1" collapsed="1"/>
    <col min="7" max="7" width="10.7109375" style="1" customWidth="1"/>
    <col min="8" max="8" width="8.140625" style="3" customWidth="1"/>
    <col min="9" max="9" width="11.28515625" style="3" customWidth="1"/>
    <col min="10" max="10" width="10.140625" style="3" customWidth="1"/>
    <col min="11" max="11" width="10" style="1" customWidth="1"/>
    <col min="12" max="12" width="9.140625" style="1"/>
    <col min="13" max="13" width="10.7109375" style="1" customWidth="1"/>
    <col min="14" max="14" width="9.140625" style="218"/>
    <col min="15" max="15" width="9.140625" style="1"/>
    <col min="16" max="19" width="7.5703125" style="1" customWidth="1"/>
    <col min="20" max="20" width="7.28515625" style="1" customWidth="1"/>
    <col min="21" max="21" width="19" style="1" customWidth="1"/>
    <col min="22" max="16384" width="9.140625" style="1"/>
  </cols>
  <sheetData>
    <row r="1" spans="1:21" ht="24.75" customHeight="1" x14ac:dyDescent="0.2">
      <c r="A1" s="316" t="s">
        <v>293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21" ht="15.75" x14ac:dyDescent="0.25">
      <c r="B2" s="57" t="s">
        <v>123</v>
      </c>
      <c r="C2" s="4"/>
      <c r="D2" s="4"/>
      <c r="E2" s="4"/>
      <c r="F2" s="4"/>
      <c r="G2" s="318" t="s">
        <v>102</v>
      </c>
      <c r="H2" s="318"/>
      <c r="I2" s="41"/>
      <c r="J2" s="41"/>
    </row>
    <row r="3" spans="1:21" ht="35.25" customHeight="1" x14ac:dyDescent="0.25">
      <c r="B3" s="57"/>
      <c r="C3" s="4"/>
      <c r="D3" s="4"/>
      <c r="E3" s="4"/>
      <c r="F3" s="4"/>
      <c r="G3" s="306" t="s">
        <v>219</v>
      </c>
      <c r="H3" s="306"/>
      <c r="I3" s="306"/>
      <c r="J3" s="306"/>
      <c r="K3" s="306"/>
    </row>
    <row r="4" spans="1:21" ht="23.25" customHeight="1" x14ac:dyDescent="0.25">
      <c r="B4" s="110" t="s">
        <v>188</v>
      </c>
      <c r="C4" s="4"/>
      <c r="D4" s="4"/>
      <c r="E4" s="4"/>
      <c r="F4" s="4"/>
      <c r="G4" s="318" t="s">
        <v>374</v>
      </c>
      <c r="H4" s="318"/>
      <c r="I4" s="318"/>
      <c r="J4" s="318"/>
    </row>
    <row r="5" spans="1:21" ht="25.5" customHeight="1" x14ac:dyDescent="0.25">
      <c r="B5" s="110" t="s">
        <v>286</v>
      </c>
      <c r="C5" s="4"/>
      <c r="D5" s="4"/>
      <c r="E5" s="4"/>
      <c r="F5" s="4"/>
      <c r="G5" s="318" t="s">
        <v>373</v>
      </c>
      <c r="H5" s="318"/>
      <c r="I5" s="318"/>
      <c r="J5" s="318"/>
    </row>
    <row r="6" spans="1:21" ht="15.75" x14ac:dyDescent="0.25">
      <c r="B6" s="57"/>
      <c r="G6" s="41"/>
      <c r="H6" s="41"/>
      <c r="I6" s="41"/>
      <c r="J6" s="41"/>
    </row>
    <row r="7" spans="1:21" ht="7.5" customHeight="1" x14ac:dyDescent="0.25">
      <c r="B7" s="57"/>
      <c r="G7" s="41"/>
      <c r="H7" s="41"/>
      <c r="I7" s="41"/>
      <c r="J7" s="41"/>
    </row>
    <row r="8" spans="1:21" ht="15.75" x14ac:dyDescent="0.25">
      <c r="B8" s="58"/>
      <c r="H8" s="10"/>
      <c r="I8" s="2"/>
      <c r="J8" s="10"/>
    </row>
    <row r="9" spans="1:21" ht="36.75" customHeight="1" x14ac:dyDescent="0.2">
      <c r="A9" s="317" t="s">
        <v>379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</row>
    <row r="10" spans="1:21" ht="29.25" customHeight="1" thickBot="1" x14ac:dyDescent="0.25">
      <c r="A10" s="285"/>
      <c r="B10" s="285"/>
      <c r="C10" s="285"/>
      <c r="D10" s="285"/>
      <c r="E10" s="285"/>
      <c r="F10" s="285"/>
      <c r="G10" s="285"/>
      <c r="H10" s="285"/>
      <c r="I10" s="285"/>
      <c r="J10" s="285"/>
      <c r="K10" s="285"/>
    </row>
    <row r="11" spans="1:21" ht="15" customHeight="1" thickBot="1" x14ac:dyDescent="0.25">
      <c r="A11" s="307" t="s">
        <v>0</v>
      </c>
      <c r="B11" s="308" t="s">
        <v>119</v>
      </c>
      <c r="C11" s="307" t="s">
        <v>122</v>
      </c>
      <c r="D11" s="308" t="s">
        <v>298</v>
      </c>
      <c r="E11" s="308" t="s">
        <v>121</v>
      </c>
      <c r="F11" s="308" t="s">
        <v>120</v>
      </c>
      <c r="G11" s="313" t="s">
        <v>105</v>
      </c>
      <c r="H11" s="312" t="s">
        <v>106</v>
      </c>
      <c r="I11" s="311" t="s">
        <v>107</v>
      </c>
      <c r="J11" s="311"/>
      <c r="K11" s="311"/>
      <c r="P11" s="1">
        <v>0</v>
      </c>
      <c r="Q11" s="1">
        <v>0.21</v>
      </c>
      <c r="R11" s="1">
        <v>0.41</v>
      </c>
      <c r="S11" s="1">
        <v>0.61</v>
      </c>
    </row>
    <row r="12" spans="1:21" ht="34.5" customHeight="1" thickBot="1" x14ac:dyDescent="0.25">
      <c r="A12" s="307"/>
      <c r="B12" s="309"/>
      <c r="C12" s="307"/>
      <c r="D12" s="309"/>
      <c r="E12" s="309"/>
      <c r="F12" s="309"/>
      <c r="G12" s="314"/>
      <c r="H12" s="312"/>
      <c r="I12" s="304" t="s">
        <v>108</v>
      </c>
      <c r="J12" s="304" t="s">
        <v>175</v>
      </c>
      <c r="K12" s="307" t="s">
        <v>174</v>
      </c>
      <c r="P12" s="1">
        <v>0.2</v>
      </c>
      <c r="Q12" s="1">
        <v>0.4</v>
      </c>
      <c r="R12" s="1">
        <v>0.6</v>
      </c>
      <c r="S12" s="1">
        <v>1</v>
      </c>
    </row>
    <row r="13" spans="1:21" ht="24" customHeight="1" thickBot="1" x14ac:dyDescent="0.25">
      <c r="A13" s="307"/>
      <c r="B13" s="310"/>
      <c r="C13" s="307"/>
      <c r="D13" s="310"/>
      <c r="E13" s="310"/>
      <c r="F13" s="310"/>
      <c r="G13" s="315"/>
      <c r="H13" s="312"/>
      <c r="I13" s="305"/>
      <c r="J13" s="305"/>
      <c r="K13" s="307"/>
      <c r="M13" s="187"/>
      <c r="O13" s="1" t="s">
        <v>3</v>
      </c>
      <c r="P13" s="1">
        <v>0.4</v>
      </c>
      <c r="Q13" s="1">
        <v>0.47899999999999998</v>
      </c>
      <c r="R13" s="1">
        <v>0.57399999999999995</v>
      </c>
      <c r="S13" s="1">
        <v>0.68899999999999995</v>
      </c>
    </row>
    <row r="14" spans="1:21" ht="12" customHeight="1" x14ac:dyDescent="0.2">
      <c r="A14" s="7">
        <v>1</v>
      </c>
      <c r="B14" s="7">
        <v>2</v>
      </c>
      <c r="C14" s="7">
        <v>3</v>
      </c>
      <c r="D14" s="7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188" t="s">
        <v>3</v>
      </c>
      <c r="M14" s="187" t="s">
        <v>34</v>
      </c>
      <c r="T14" s="1" t="s">
        <v>312</v>
      </c>
      <c r="U14" s="1" t="s">
        <v>328</v>
      </c>
    </row>
    <row r="15" spans="1:21" ht="15.75" x14ac:dyDescent="0.25">
      <c r="A15" s="87"/>
      <c r="B15" s="88" t="s">
        <v>2</v>
      </c>
      <c r="C15" s="77"/>
      <c r="D15" s="77"/>
      <c r="E15" s="77"/>
      <c r="F15" s="77"/>
      <c r="G15" s="77"/>
      <c r="H15" s="11"/>
      <c r="I15" s="11"/>
      <c r="J15" s="11"/>
      <c r="K15" s="54"/>
    </row>
    <row r="16" spans="1:21" ht="12" customHeight="1" x14ac:dyDescent="0.2">
      <c r="A16" s="152">
        <v>1</v>
      </c>
      <c r="B16" s="163" t="s">
        <v>237</v>
      </c>
      <c r="C16" s="137">
        <v>30.1</v>
      </c>
      <c r="D16" s="137">
        <v>0.2</v>
      </c>
      <c r="E16" s="158" t="s">
        <v>4</v>
      </c>
      <c r="F16" s="158" t="s">
        <v>3</v>
      </c>
      <c r="G16" s="139">
        <v>8</v>
      </c>
      <c r="H16" s="137">
        <f>C16*G16*(1-D16)</f>
        <v>192.64000000000001</v>
      </c>
      <c r="I16" s="138">
        <f>IF(F16=L$14,L16,IF(M16=M$14,M16,"-"))</f>
        <v>0.4</v>
      </c>
      <c r="J16" s="161">
        <f>H16*I16</f>
        <v>77.056000000000012</v>
      </c>
      <c r="K16" s="137"/>
      <c r="L16" s="50">
        <f>IF(D16&gt;=P$11,IF(D16&lt;=P$12,P$13,0),0)+IF(D16&gt;=Q$11,IF(D16&lt;=Q$12,Q$13,0),0)+IF(D16&gt;=R$11,IF(D16&lt;=R$12,R$13,0),0)+IF(D16&gt;=S$11,IF(D16&lt;=S$12,S$13,0),0)</f>
        <v>0.4</v>
      </c>
      <c r="M16" s="50">
        <f>IF(E16&gt;=P$11,IF(E16&lt;=P$12,P$15,0),0)+IF(E16&gt;=Q$11,IF(E16&lt;=Q$12,Q$15,0),0)+IF(E16&gt;=R$11,IF(E16&lt;=R$12,R$15,0),0)+IF(E16&gt;=S$11,IF(E16&lt;=S$12,S$15,0),0)</f>
        <v>0</v>
      </c>
      <c r="N16" s="217"/>
      <c r="O16" s="50"/>
      <c r="P16" s="50"/>
      <c r="Q16" s="50"/>
      <c r="R16" s="50"/>
      <c r="S16" s="50"/>
      <c r="T16" s="1" t="s">
        <v>317</v>
      </c>
      <c r="U16" s="50" t="s">
        <v>327</v>
      </c>
    </row>
    <row r="17" spans="1:21" ht="12" customHeight="1" x14ac:dyDescent="0.2">
      <c r="A17" s="152">
        <v>2</v>
      </c>
      <c r="B17" s="163" t="s">
        <v>239</v>
      </c>
      <c r="C17" s="137">
        <v>23.4</v>
      </c>
      <c r="D17" s="137">
        <v>0.2</v>
      </c>
      <c r="E17" s="158" t="s">
        <v>192</v>
      </c>
      <c r="F17" s="158" t="s">
        <v>3</v>
      </c>
      <c r="G17" s="139">
        <v>8</v>
      </c>
      <c r="H17" s="137">
        <f t="shared" ref="H17:H27" si="0">C17*G17*(1-D17)</f>
        <v>149.76</v>
      </c>
      <c r="I17" s="138">
        <f t="shared" ref="I17:I18" si="1">IF(F17=L$14,L17,IF(M17=M$14,M17,"-"))</f>
        <v>0.4</v>
      </c>
      <c r="J17" s="161">
        <f>H17*I17</f>
        <v>59.903999999999996</v>
      </c>
      <c r="K17" s="137"/>
      <c r="L17" s="50">
        <f t="shared" ref="L17:L76" si="2">IF(D17&gt;=P$11,IF(D17&lt;=P$12,P$13,0),0)+IF(D17&gt;=Q$11,IF(D17&lt;=Q$12,Q$13,0),0)+IF(D17&gt;=R$11,IF(D17&lt;=R$12,R$13,0),0)+IF(D17&gt;=S$11,IF(D17&lt;=S$12,S$13,0),0)</f>
        <v>0.4</v>
      </c>
      <c r="N17" s="217"/>
      <c r="T17" s="1" t="s">
        <v>317</v>
      </c>
      <c r="U17" s="50" t="s">
        <v>327</v>
      </c>
    </row>
    <row r="18" spans="1:21" ht="12" customHeight="1" x14ac:dyDescent="0.2">
      <c r="A18" s="152">
        <v>3</v>
      </c>
      <c r="B18" s="163" t="s">
        <v>238</v>
      </c>
      <c r="C18" s="137">
        <v>23.6</v>
      </c>
      <c r="D18" s="137">
        <v>0.2</v>
      </c>
      <c r="E18" s="158" t="s">
        <v>192</v>
      </c>
      <c r="F18" s="158" t="s">
        <v>3</v>
      </c>
      <c r="G18" s="139">
        <v>8</v>
      </c>
      <c r="H18" s="137">
        <f t="shared" si="0"/>
        <v>151.04000000000002</v>
      </c>
      <c r="I18" s="138">
        <f t="shared" si="1"/>
        <v>0.4</v>
      </c>
      <c r="J18" s="161">
        <f>H18*I18</f>
        <v>60.416000000000011</v>
      </c>
      <c r="K18" s="137"/>
      <c r="L18" s="50">
        <f t="shared" si="2"/>
        <v>0.4</v>
      </c>
      <c r="N18" s="217"/>
      <c r="T18" s="1" t="s">
        <v>317</v>
      </c>
      <c r="U18" s="50" t="s">
        <v>327</v>
      </c>
    </row>
    <row r="19" spans="1:21" s="2" customFormat="1" x14ac:dyDescent="0.2">
      <c r="A19" s="214">
        <v>4</v>
      </c>
      <c r="B19" s="260" t="s">
        <v>240</v>
      </c>
      <c r="C19" s="6">
        <v>24.2</v>
      </c>
      <c r="D19" s="6">
        <v>0</v>
      </c>
      <c r="E19" s="248" t="s">
        <v>192</v>
      </c>
      <c r="F19" s="248" t="s">
        <v>3</v>
      </c>
      <c r="G19" s="215">
        <v>8</v>
      </c>
      <c r="H19" s="6">
        <f t="shared" si="0"/>
        <v>193.6</v>
      </c>
      <c r="I19" s="6">
        <v>1.1459999999999999</v>
      </c>
      <c r="J19" s="261">
        <f>H19*I19</f>
        <v>221.86559999999997</v>
      </c>
      <c r="K19" s="6">
        <f>J19</f>
        <v>221.86559999999997</v>
      </c>
      <c r="L19" s="140">
        <f t="shared" si="2"/>
        <v>0.4</v>
      </c>
      <c r="N19" s="236"/>
      <c r="T19" s="2" t="s">
        <v>329</v>
      </c>
      <c r="U19" s="140" t="s">
        <v>327</v>
      </c>
    </row>
    <row r="20" spans="1:21" x14ac:dyDescent="0.2">
      <c r="A20" s="152">
        <v>5</v>
      </c>
      <c r="B20" s="163" t="s">
        <v>242</v>
      </c>
      <c r="C20" s="137">
        <v>16</v>
      </c>
      <c r="D20" s="137">
        <v>0.2</v>
      </c>
      <c r="E20" s="158" t="s">
        <v>192</v>
      </c>
      <c r="F20" s="158" t="s">
        <v>3</v>
      </c>
      <c r="G20" s="139">
        <v>1</v>
      </c>
      <c r="H20" s="137">
        <f t="shared" si="0"/>
        <v>12.8</v>
      </c>
      <c r="I20" s="138">
        <f t="shared" ref="I20:I21" si="3">IF(F20=L$14,L20,IF(M20=M$14,M20,"-"))</f>
        <v>0.4</v>
      </c>
      <c r="J20" s="161">
        <f t="shared" ref="J20:J77" si="4">H20*I20</f>
        <v>5.120000000000001</v>
      </c>
      <c r="K20" s="137"/>
      <c r="L20" s="50">
        <f t="shared" si="2"/>
        <v>0.4</v>
      </c>
      <c r="N20" s="220"/>
      <c r="O20" s="221"/>
      <c r="T20" s="1" t="s">
        <v>317</v>
      </c>
      <c r="U20" s="50" t="s">
        <v>327</v>
      </c>
    </row>
    <row r="21" spans="1:21" x14ac:dyDescent="0.2">
      <c r="A21" s="152">
        <v>6</v>
      </c>
      <c r="B21" s="163" t="s">
        <v>8</v>
      </c>
      <c r="C21" s="137">
        <v>34.799999999999997</v>
      </c>
      <c r="D21" s="137">
        <v>0.1</v>
      </c>
      <c r="E21" s="158" t="s">
        <v>4</v>
      </c>
      <c r="F21" s="158" t="s">
        <v>3</v>
      </c>
      <c r="G21" s="139">
        <v>20</v>
      </c>
      <c r="H21" s="137">
        <f t="shared" si="0"/>
        <v>626.4</v>
      </c>
      <c r="I21" s="138">
        <f t="shared" si="3"/>
        <v>0.4</v>
      </c>
      <c r="J21" s="161">
        <f t="shared" si="4"/>
        <v>250.56</v>
      </c>
      <c r="K21" s="137"/>
      <c r="L21" s="50">
        <f t="shared" si="2"/>
        <v>0.4</v>
      </c>
      <c r="N21" s="217"/>
      <c r="T21" s="1" t="s">
        <v>317</v>
      </c>
      <c r="U21" s="50" t="s">
        <v>327</v>
      </c>
    </row>
    <row r="22" spans="1:21" s="2" customFormat="1" x14ac:dyDescent="0.2">
      <c r="A22" s="214">
        <v>7</v>
      </c>
      <c r="B22" s="260" t="s">
        <v>282</v>
      </c>
      <c r="C22" s="6">
        <v>50</v>
      </c>
      <c r="D22" s="6">
        <v>0</v>
      </c>
      <c r="E22" s="248" t="s">
        <v>241</v>
      </c>
      <c r="F22" s="248" t="s">
        <v>3</v>
      </c>
      <c r="G22" s="215">
        <v>0.1</v>
      </c>
      <c r="H22" s="6">
        <f t="shared" si="0"/>
        <v>5</v>
      </c>
      <c r="I22" s="6">
        <v>4.43</v>
      </c>
      <c r="J22" s="261">
        <f t="shared" si="4"/>
        <v>22.15</v>
      </c>
      <c r="K22" s="6"/>
      <c r="L22" s="140">
        <f t="shared" si="2"/>
        <v>0.4</v>
      </c>
      <c r="N22" s="236"/>
      <c r="T22" s="233" t="s">
        <v>319</v>
      </c>
      <c r="U22" s="2" t="s">
        <v>320</v>
      </c>
    </row>
    <row r="23" spans="1:21" x14ac:dyDescent="0.2">
      <c r="A23" s="152">
        <v>8</v>
      </c>
      <c r="B23" s="163" t="s">
        <v>9</v>
      </c>
      <c r="C23" s="137">
        <v>95</v>
      </c>
      <c r="D23" s="137">
        <v>0</v>
      </c>
      <c r="E23" s="158" t="s">
        <v>131</v>
      </c>
      <c r="F23" s="158" t="s">
        <v>3</v>
      </c>
      <c r="G23" s="139">
        <v>12</v>
      </c>
      <c r="H23" s="137">
        <f t="shared" si="0"/>
        <v>1140</v>
      </c>
      <c r="I23" s="138">
        <f>IF(F23=L$14,L23,IF(M23=M$14,M23,"-"))</f>
        <v>0.4</v>
      </c>
      <c r="J23" s="161">
        <f t="shared" si="4"/>
        <v>456</v>
      </c>
      <c r="K23" s="137"/>
      <c r="L23" s="50">
        <f t="shared" si="2"/>
        <v>0.4</v>
      </c>
      <c r="N23" s="217"/>
      <c r="T23" s="1" t="s">
        <v>317</v>
      </c>
      <c r="U23" s="50" t="s">
        <v>327</v>
      </c>
    </row>
    <row r="24" spans="1:21" s="2" customFormat="1" x14ac:dyDescent="0.2">
      <c r="A24" s="214">
        <v>9</v>
      </c>
      <c r="B24" s="260" t="s">
        <v>244</v>
      </c>
      <c r="C24" s="6">
        <v>4</v>
      </c>
      <c r="D24" s="6">
        <v>0</v>
      </c>
      <c r="E24" s="248" t="s">
        <v>131</v>
      </c>
      <c r="F24" s="248" t="s">
        <v>3</v>
      </c>
      <c r="G24" s="215">
        <v>20</v>
      </c>
      <c r="H24" s="6">
        <f t="shared" si="0"/>
        <v>80</v>
      </c>
      <c r="I24" s="6">
        <v>1.1459999999999999</v>
      </c>
      <c r="J24" s="261">
        <f t="shared" si="4"/>
        <v>91.679999999999993</v>
      </c>
      <c r="K24" s="6">
        <f>J24</f>
        <v>91.679999999999993</v>
      </c>
      <c r="L24" s="140">
        <f t="shared" si="2"/>
        <v>0.4</v>
      </c>
      <c r="N24" s="236"/>
      <c r="T24" s="2" t="s">
        <v>329</v>
      </c>
      <c r="U24" s="140" t="s">
        <v>327</v>
      </c>
    </row>
    <row r="25" spans="1:21" s="2" customFormat="1" x14ac:dyDescent="0.2">
      <c r="A25" s="214">
        <v>10</v>
      </c>
      <c r="B25" s="260" t="s">
        <v>245</v>
      </c>
      <c r="C25" s="6">
        <v>4</v>
      </c>
      <c r="D25" s="6">
        <v>0</v>
      </c>
      <c r="E25" s="248" t="s">
        <v>131</v>
      </c>
      <c r="F25" s="248" t="s">
        <v>3</v>
      </c>
      <c r="G25" s="215">
        <v>20</v>
      </c>
      <c r="H25" s="6">
        <f t="shared" si="0"/>
        <v>80</v>
      </c>
      <c r="I25" s="6">
        <v>1.1459999999999999</v>
      </c>
      <c r="J25" s="261">
        <f t="shared" si="4"/>
        <v>91.679999999999993</v>
      </c>
      <c r="K25" s="6">
        <f>J25</f>
        <v>91.679999999999993</v>
      </c>
      <c r="L25" s="140">
        <f t="shared" si="2"/>
        <v>0.4</v>
      </c>
      <c r="N25" s="236"/>
      <c r="T25" s="2" t="s">
        <v>329</v>
      </c>
      <c r="U25" s="140" t="s">
        <v>327</v>
      </c>
    </row>
    <row r="26" spans="1:21" x14ac:dyDescent="0.2">
      <c r="A26" s="152">
        <v>11</v>
      </c>
      <c r="B26" s="163" t="s">
        <v>176</v>
      </c>
      <c r="C26" s="137">
        <v>20</v>
      </c>
      <c r="D26" s="137">
        <v>0.2</v>
      </c>
      <c r="E26" s="158" t="s">
        <v>4</v>
      </c>
      <c r="F26" s="158" t="s">
        <v>3</v>
      </c>
      <c r="G26" s="139">
        <v>8</v>
      </c>
      <c r="H26" s="137">
        <f t="shared" si="0"/>
        <v>128</v>
      </c>
      <c r="I26" s="138">
        <f>IF(F26=L$14,L26,IF(M26=M$14,M26,"-"))</f>
        <v>0.4</v>
      </c>
      <c r="J26" s="161">
        <f t="shared" si="4"/>
        <v>51.2</v>
      </c>
      <c r="K26" s="137"/>
      <c r="L26" s="50">
        <f t="shared" si="2"/>
        <v>0.4</v>
      </c>
      <c r="N26" s="217"/>
      <c r="T26" s="1" t="s">
        <v>317</v>
      </c>
      <c r="U26" s="50" t="s">
        <v>327</v>
      </c>
    </row>
    <row r="27" spans="1:21" s="2" customFormat="1" x14ac:dyDescent="0.2">
      <c r="A27" s="214">
        <v>12</v>
      </c>
      <c r="B27" s="260" t="s">
        <v>243</v>
      </c>
      <c r="C27" s="6">
        <v>3.2</v>
      </c>
      <c r="D27" s="6">
        <v>0</v>
      </c>
      <c r="E27" s="248" t="s">
        <v>192</v>
      </c>
      <c r="F27" s="248" t="s">
        <v>3</v>
      </c>
      <c r="G27" s="215">
        <v>20</v>
      </c>
      <c r="H27" s="6">
        <f t="shared" si="0"/>
        <v>64</v>
      </c>
      <c r="I27" s="6">
        <v>1.1459999999999999</v>
      </c>
      <c r="J27" s="261">
        <f t="shared" si="4"/>
        <v>73.343999999999994</v>
      </c>
      <c r="K27" s="6">
        <f>J27</f>
        <v>73.343999999999994</v>
      </c>
      <c r="L27" s="140">
        <f t="shared" si="2"/>
        <v>0.4</v>
      </c>
      <c r="N27" s="236"/>
      <c r="T27" s="2" t="s">
        <v>329</v>
      </c>
      <c r="U27" s="140" t="s">
        <v>327</v>
      </c>
    </row>
    <row r="28" spans="1:21" ht="15.75" x14ac:dyDescent="0.25">
      <c r="A28" s="165"/>
      <c r="B28" s="166" t="s">
        <v>144</v>
      </c>
      <c r="C28" s="136"/>
      <c r="D28" s="136"/>
      <c r="E28" s="167"/>
      <c r="F28" s="167"/>
      <c r="G28" s="162"/>
      <c r="H28" s="136"/>
      <c r="I28" s="136"/>
      <c r="J28" s="136"/>
      <c r="K28" s="163"/>
      <c r="L28" s="50">
        <f t="shared" si="2"/>
        <v>0.4</v>
      </c>
      <c r="N28" s="217"/>
    </row>
    <row r="29" spans="1:21" ht="12" customHeight="1" x14ac:dyDescent="0.2">
      <c r="A29" s="152">
        <v>13</v>
      </c>
      <c r="B29" s="163" t="s">
        <v>10</v>
      </c>
      <c r="C29" s="137">
        <v>66.8</v>
      </c>
      <c r="D29" s="137">
        <v>0</v>
      </c>
      <c r="E29" s="158" t="s">
        <v>192</v>
      </c>
      <c r="F29" s="158" t="s">
        <v>3</v>
      </c>
      <c r="G29" s="139">
        <v>12</v>
      </c>
      <c r="H29" s="137">
        <f t="shared" ref="H29:H43" si="5">C29*G29*(1-D29)</f>
        <v>801.59999999999991</v>
      </c>
      <c r="I29" s="138">
        <f t="shared" ref="I29:I38" si="6">IF(F29=L$14,L29,IF(M29=M$14,M29,"-"))</f>
        <v>0.4</v>
      </c>
      <c r="J29" s="161">
        <f t="shared" si="4"/>
        <v>320.64</v>
      </c>
      <c r="K29" s="137"/>
      <c r="L29" s="50">
        <f t="shared" si="2"/>
        <v>0.4</v>
      </c>
      <c r="N29" s="217"/>
      <c r="T29" s="1" t="s">
        <v>317</v>
      </c>
      <c r="U29" s="50" t="s">
        <v>327</v>
      </c>
    </row>
    <row r="30" spans="1:21" x14ac:dyDescent="0.2">
      <c r="A30" s="152">
        <v>14</v>
      </c>
      <c r="B30" s="163" t="s">
        <v>246</v>
      </c>
      <c r="C30" s="137">
        <v>21.2</v>
      </c>
      <c r="D30" s="137">
        <v>0.1</v>
      </c>
      <c r="E30" s="158" t="s">
        <v>11</v>
      </c>
      <c r="F30" s="158" t="s">
        <v>3</v>
      </c>
      <c r="G30" s="139">
        <v>8</v>
      </c>
      <c r="H30" s="137">
        <f t="shared" si="5"/>
        <v>152.63999999999999</v>
      </c>
      <c r="I30" s="138">
        <f t="shared" si="6"/>
        <v>0.4</v>
      </c>
      <c r="J30" s="161">
        <f t="shared" si="4"/>
        <v>61.055999999999997</v>
      </c>
      <c r="K30" s="137"/>
      <c r="L30" s="50">
        <f t="shared" si="2"/>
        <v>0.4</v>
      </c>
      <c r="N30" s="217"/>
      <c r="T30" s="1" t="s">
        <v>317</v>
      </c>
      <c r="U30" s="50" t="s">
        <v>327</v>
      </c>
    </row>
    <row r="31" spans="1:21" x14ac:dyDescent="0.2">
      <c r="A31" s="152">
        <v>15</v>
      </c>
      <c r="B31" s="163" t="s">
        <v>53</v>
      </c>
      <c r="C31" s="137">
        <v>17</v>
      </c>
      <c r="D31" s="137">
        <v>0.3</v>
      </c>
      <c r="E31" s="158" t="s">
        <v>192</v>
      </c>
      <c r="F31" s="158" t="s">
        <v>3</v>
      </c>
      <c r="G31" s="139">
        <v>1</v>
      </c>
      <c r="H31" s="137">
        <f t="shared" si="5"/>
        <v>11.899999999999999</v>
      </c>
      <c r="I31" s="138">
        <f t="shared" si="6"/>
        <v>0.47899999999999998</v>
      </c>
      <c r="J31" s="161">
        <f t="shared" si="4"/>
        <v>5.7000999999999991</v>
      </c>
      <c r="K31" s="137"/>
      <c r="L31" s="50">
        <f t="shared" si="2"/>
        <v>0.47899999999999998</v>
      </c>
      <c r="N31" s="217"/>
      <c r="T31" s="1" t="s">
        <v>321</v>
      </c>
      <c r="U31" s="50" t="s">
        <v>327</v>
      </c>
    </row>
    <row r="32" spans="1:21" x14ac:dyDescent="0.2">
      <c r="A32" s="152">
        <v>16</v>
      </c>
      <c r="B32" s="163" t="s">
        <v>247</v>
      </c>
      <c r="C32" s="137">
        <v>22.6</v>
      </c>
      <c r="D32" s="137">
        <v>0.3</v>
      </c>
      <c r="E32" s="158" t="s">
        <v>11</v>
      </c>
      <c r="F32" s="158" t="s">
        <v>3</v>
      </c>
      <c r="G32" s="139">
        <v>8</v>
      </c>
      <c r="H32" s="137">
        <f t="shared" si="5"/>
        <v>126.56</v>
      </c>
      <c r="I32" s="138">
        <f t="shared" si="6"/>
        <v>0.47899999999999998</v>
      </c>
      <c r="J32" s="161">
        <f t="shared" si="4"/>
        <v>60.622239999999998</v>
      </c>
      <c r="K32" s="137"/>
      <c r="L32" s="50">
        <f t="shared" si="2"/>
        <v>0.47899999999999998</v>
      </c>
      <c r="N32" s="217"/>
      <c r="T32" s="1" t="s">
        <v>321</v>
      </c>
      <c r="U32" s="50" t="s">
        <v>327</v>
      </c>
    </row>
    <row r="33" spans="1:21" x14ac:dyDescent="0.2">
      <c r="A33" s="152">
        <v>17</v>
      </c>
      <c r="B33" s="163" t="s">
        <v>248</v>
      </c>
      <c r="C33" s="137">
        <v>22.6</v>
      </c>
      <c r="D33" s="137">
        <v>0.2</v>
      </c>
      <c r="E33" s="158" t="s">
        <v>11</v>
      </c>
      <c r="F33" s="158" t="s">
        <v>3</v>
      </c>
      <c r="G33" s="139">
        <v>8</v>
      </c>
      <c r="H33" s="137">
        <f t="shared" si="5"/>
        <v>144.64000000000001</v>
      </c>
      <c r="I33" s="138">
        <f t="shared" si="6"/>
        <v>0.4</v>
      </c>
      <c r="J33" s="161">
        <f t="shared" si="4"/>
        <v>57.856000000000009</v>
      </c>
      <c r="K33" s="137"/>
      <c r="L33" s="50">
        <f t="shared" si="2"/>
        <v>0.4</v>
      </c>
      <c r="N33" s="217"/>
      <c r="T33" s="1" t="s">
        <v>317</v>
      </c>
      <c r="U33" s="50" t="s">
        <v>327</v>
      </c>
    </row>
    <row r="34" spans="1:21" x14ac:dyDescent="0.2">
      <c r="A34" s="152">
        <v>18</v>
      </c>
      <c r="B34" s="163" t="s">
        <v>249</v>
      </c>
      <c r="C34" s="137">
        <v>30.8</v>
      </c>
      <c r="D34" s="137">
        <v>0.3</v>
      </c>
      <c r="E34" s="158" t="s">
        <v>11</v>
      </c>
      <c r="F34" s="158" t="s">
        <v>3</v>
      </c>
      <c r="G34" s="139">
        <v>8</v>
      </c>
      <c r="H34" s="137">
        <f t="shared" si="5"/>
        <v>172.48</v>
      </c>
      <c r="I34" s="138">
        <f t="shared" si="6"/>
        <v>0.47899999999999998</v>
      </c>
      <c r="J34" s="161">
        <f t="shared" si="4"/>
        <v>82.617919999999998</v>
      </c>
      <c r="K34" s="137"/>
      <c r="L34" s="50">
        <f t="shared" si="2"/>
        <v>0.47899999999999998</v>
      </c>
      <c r="N34" s="217"/>
      <c r="T34" s="1" t="s">
        <v>321</v>
      </c>
      <c r="U34" s="50" t="s">
        <v>327</v>
      </c>
    </row>
    <row r="35" spans="1:21" x14ac:dyDescent="0.2">
      <c r="A35" s="152">
        <v>19</v>
      </c>
      <c r="B35" s="163" t="s">
        <v>250</v>
      </c>
      <c r="C35" s="137">
        <v>14.1</v>
      </c>
      <c r="D35" s="137">
        <v>0.3</v>
      </c>
      <c r="E35" s="158" t="s">
        <v>12</v>
      </c>
      <c r="F35" s="158" t="s">
        <v>3</v>
      </c>
      <c r="G35" s="139">
        <v>8</v>
      </c>
      <c r="H35" s="137">
        <f t="shared" si="5"/>
        <v>78.959999999999994</v>
      </c>
      <c r="I35" s="138">
        <f t="shared" si="6"/>
        <v>0.47899999999999998</v>
      </c>
      <c r="J35" s="161">
        <f t="shared" si="4"/>
        <v>37.821839999999995</v>
      </c>
      <c r="K35" s="137"/>
      <c r="L35" s="50">
        <f t="shared" si="2"/>
        <v>0.47899999999999998</v>
      </c>
      <c r="N35" s="217"/>
      <c r="T35" s="1" t="s">
        <v>321</v>
      </c>
      <c r="U35" s="50" t="s">
        <v>327</v>
      </c>
    </row>
    <row r="36" spans="1:21" x14ac:dyDescent="0.2">
      <c r="A36" s="152">
        <v>20</v>
      </c>
      <c r="B36" s="163" t="s">
        <v>251</v>
      </c>
      <c r="C36" s="137">
        <v>11.3</v>
      </c>
      <c r="D36" s="137">
        <v>0.3</v>
      </c>
      <c r="E36" s="158" t="s">
        <v>12</v>
      </c>
      <c r="F36" s="158" t="s">
        <v>3</v>
      </c>
      <c r="G36" s="139">
        <v>8</v>
      </c>
      <c r="H36" s="137">
        <f t="shared" si="5"/>
        <v>63.28</v>
      </c>
      <c r="I36" s="138">
        <f t="shared" si="6"/>
        <v>0.47899999999999998</v>
      </c>
      <c r="J36" s="161">
        <f t="shared" si="4"/>
        <v>30.311119999999999</v>
      </c>
      <c r="K36" s="137"/>
      <c r="L36" s="50">
        <f t="shared" si="2"/>
        <v>0.47899999999999998</v>
      </c>
      <c r="N36" s="217"/>
      <c r="T36" s="1" t="s">
        <v>321</v>
      </c>
      <c r="U36" s="50" t="s">
        <v>327</v>
      </c>
    </row>
    <row r="37" spans="1:21" x14ac:dyDescent="0.2">
      <c r="A37" s="152">
        <v>21</v>
      </c>
      <c r="B37" s="163" t="s">
        <v>13</v>
      </c>
      <c r="C37" s="137">
        <v>42.5</v>
      </c>
      <c r="D37" s="137">
        <v>0.1</v>
      </c>
      <c r="E37" s="158" t="s">
        <v>4</v>
      </c>
      <c r="F37" s="158" t="s">
        <v>3</v>
      </c>
      <c r="G37" s="139">
        <v>8</v>
      </c>
      <c r="H37" s="137">
        <f t="shared" si="5"/>
        <v>306</v>
      </c>
      <c r="I37" s="138">
        <f t="shared" si="6"/>
        <v>0.4</v>
      </c>
      <c r="J37" s="161">
        <f t="shared" si="4"/>
        <v>122.4</v>
      </c>
      <c r="K37" s="137"/>
      <c r="L37" s="50">
        <f t="shared" si="2"/>
        <v>0.4</v>
      </c>
      <c r="N37" s="217"/>
      <c r="T37" s="1" t="s">
        <v>317</v>
      </c>
      <c r="U37" s="50" t="s">
        <v>327</v>
      </c>
    </row>
    <row r="38" spans="1:21" s="2" customFormat="1" x14ac:dyDescent="0.2">
      <c r="A38" s="152">
        <v>22</v>
      </c>
      <c r="B38" s="163" t="s">
        <v>252</v>
      </c>
      <c r="C38" s="137">
        <v>17.399999999999999</v>
      </c>
      <c r="D38" s="137">
        <v>0.2</v>
      </c>
      <c r="E38" s="158" t="s">
        <v>192</v>
      </c>
      <c r="F38" s="158" t="s">
        <v>3</v>
      </c>
      <c r="G38" s="139">
        <v>8</v>
      </c>
      <c r="H38" s="137">
        <f t="shared" si="5"/>
        <v>111.36</v>
      </c>
      <c r="I38" s="138">
        <f t="shared" si="6"/>
        <v>0.4</v>
      </c>
      <c r="J38" s="161">
        <f t="shared" si="4"/>
        <v>44.544000000000004</v>
      </c>
      <c r="K38" s="137"/>
      <c r="L38" s="50">
        <f t="shared" si="2"/>
        <v>0.4</v>
      </c>
      <c r="N38" s="217"/>
      <c r="T38" s="1" t="s">
        <v>317</v>
      </c>
      <c r="U38" s="50" t="s">
        <v>327</v>
      </c>
    </row>
    <row r="39" spans="1:21" s="2" customFormat="1" x14ac:dyDescent="0.2">
      <c r="A39" s="214">
        <v>23</v>
      </c>
      <c r="B39" s="260" t="s">
        <v>350</v>
      </c>
      <c r="C39" s="6">
        <v>11.5</v>
      </c>
      <c r="D39" s="6">
        <v>0</v>
      </c>
      <c r="E39" s="248" t="s">
        <v>192</v>
      </c>
      <c r="F39" s="248" t="s">
        <v>3</v>
      </c>
      <c r="G39" s="215">
        <v>8</v>
      </c>
      <c r="H39" s="6">
        <f t="shared" si="5"/>
        <v>92</v>
      </c>
      <c r="I39" s="6">
        <v>1.1459999999999999</v>
      </c>
      <c r="J39" s="261">
        <f t="shared" si="4"/>
        <v>105.43199999999999</v>
      </c>
      <c r="K39" s="6">
        <f>J39</f>
        <v>105.43199999999999</v>
      </c>
      <c r="L39" s="140">
        <f t="shared" si="2"/>
        <v>0.4</v>
      </c>
      <c r="N39" s="236"/>
      <c r="T39" s="2" t="s">
        <v>329</v>
      </c>
      <c r="U39" s="140" t="s">
        <v>327</v>
      </c>
    </row>
    <row r="40" spans="1:21" s="2" customFormat="1" x14ac:dyDescent="0.2">
      <c r="A40" s="214">
        <v>24</v>
      </c>
      <c r="B40" s="6" t="s">
        <v>124</v>
      </c>
      <c r="C40" s="6">
        <v>40</v>
      </c>
      <c r="D40" s="6">
        <v>0</v>
      </c>
      <c r="E40" s="248" t="s">
        <v>129</v>
      </c>
      <c r="F40" s="248" t="s">
        <v>3</v>
      </c>
      <c r="G40" s="215">
        <v>1</v>
      </c>
      <c r="H40" s="6">
        <f t="shared" si="5"/>
        <v>40</v>
      </c>
      <c r="I40" s="2">
        <v>1.7</v>
      </c>
      <c r="J40" s="261">
        <f t="shared" si="4"/>
        <v>68</v>
      </c>
      <c r="K40" s="6"/>
      <c r="L40" s="140">
        <f t="shared" si="2"/>
        <v>0.4</v>
      </c>
      <c r="N40" s="219"/>
      <c r="T40" s="2" t="s">
        <v>318</v>
      </c>
      <c r="U40" s="140" t="s">
        <v>327</v>
      </c>
    </row>
    <row r="41" spans="1:21" s="2" customFormat="1" x14ac:dyDescent="0.2">
      <c r="A41" s="214">
        <v>25</v>
      </c>
      <c r="B41" s="260" t="s">
        <v>56</v>
      </c>
      <c r="C41" s="6">
        <v>2.5</v>
      </c>
      <c r="D41" s="6">
        <v>0</v>
      </c>
      <c r="E41" s="248" t="s">
        <v>55</v>
      </c>
      <c r="F41" s="248" t="s">
        <v>3</v>
      </c>
      <c r="G41" s="215">
        <v>20</v>
      </c>
      <c r="H41" s="6">
        <f t="shared" si="5"/>
        <v>50</v>
      </c>
      <c r="I41" s="6">
        <v>1.1459999999999999</v>
      </c>
      <c r="J41" s="261">
        <f t="shared" si="4"/>
        <v>57.3</v>
      </c>
      <c r="K41" s="6">
        <f>J41</f>
        <v>57.3</v>
      </c>
      <c r="L41" s="140">
        <f t="shared" si="2"/>
        <v>0.4</v>
      </c>
      <c r="N41" s="236"/>
      <c r="T41" s="2" t="s">
        <v>329</v>
      </c>
      <c r="U41" s="140" t="s">
        <v>327</v>
      </c>
    </row>
    <row r="42" spans="1:21" s="2" customFormat="1" x14ac:dyDescent="0.2">
      <c r="A42" s="152">
        <v>26</v>
      </c>
      <c r="B42" s="163" t="s">
        <v>253</v>
      </c>
      <c r="C42" s="137">
        <v>52.4</v>
      </c>
      <c r="D42" s="137">
        <v>0.1</v>
      </c>
      <c r="E42" s="158" t="s">
        <v>4</v>
      </c>
      <c r="F42" s="158" t="s">
        <v>3</v>
      </c>
      <c r="G42" s="139">
        <v>1</v>
      </c>
      <c r="H42" s="137">
        <f t="shared" si="5"/>
        <v>47.16</v>
      </c>
      <c r="I42" s="138">
        <f>IF(F42=L$14,L42,IF(M42=M$14,M42,"-"))</f>
        <v>0.4</v>
      </c>
      <c r="J42" s="161">
        <f t="shared" si="4"/>
        <v>18.864000000000001</v>
      </c>
      <c r="K42" s="137"/>
      <c r="L42" s="50">
        <f t="shared" si="2"/>
        <v>0.4</v>
      </c>
      <c r="N42" s="219"/>
      <c r="T42" s="1" t="s">
        <v>317</v>
      </c>
      <c r="U42" s="50" t="s">
        <v>327</v>
      </c>
    </row>
    <row r="43" spans="1:21" s="2" customFormat="1" x14ac:dyDescent="0.2">
      <c r="A43" s="214">
        <v>27</v>
      </c>
      <c r="B43" s="260" t="s">
        <v>282</v>
      </c>
      <c r="C43" s="6">
        <v>75</v>
      </c>
      <c r="D43" s="6">
        <v>0</v>
      </c>
      <c r="E43" s="249" t="s">
        <v>194</v>
      </c>
      <c r="F43" s="248" t="s">
        <v>3</v>
      </c>
      <c r="G43" s="215">
        <v>0.1</v>
      </c>
      <c r="H43" s="6">
        <f t="shared" si="5"/>
        <v>7.5</v>
      </c>
      <c r="I43" s="6">
        <v>4.43</v>
      </c>
      <c r="J43" s="261">
        <f t="shared" si="4"/>
        <v>33.224999999999994</v>
      </c>
      <c r="K43" s="6"/>
      <c r="L43" s="140">
        <f t="shared" si="2"/>
        <v>0.4</v>
      </c>
      <c r="N43" s="219"/>
      <c r="T43" s="233" t="s">
        <v>319</v>
      </c>
      <c r="U43" s="2" t="s">
        <v>320</v>
      </c>
    </row>
    <row r="44" spans="1:21" ht="14.25" customHeight="1" x14ac:dyDescent="0.25">
      <c r="A44" s="165"/>
      <c r="B44" s="166" t="s">
        <v>138</v>
      </c>
      <c r="C44" s="136"/>
      <c r="D44" s="136"/>
      <c r="E44" s="167"/>
      <c r="F44" s="136"/>
      <c r="G44" s="162"/>
      <c r="H44" s="136"/>
      <c r="I44" s="136"/>
      <c r="J44" s="136"/>
      <c r="K44" s="163"/>
      <c r="L44" s="50">
        <f t="shared" si="2"/>
        <v>0.4</v>
      </c>
    </row>
    <row r="45" spans="1:21" ht="12.75" customHeight="1" x14ac:dyDescent="0.2">
      <c r="A45" s="152">
        <v>28</v>
      </c>
      <c r="B45" s="163" t="s">
        <v>76</v>
      </c>
      <c r="C45" s="137">
        <v>29.2</v>
      </c>
      <c r="D45" s="137">
        <v>0.1</v>
      </c>
      <c r="E45" s="158" t="s">
        <v>11</v>
      </c>
      <c r="F45" s="168" t="s">
        <v>3</v>
      </c>
      <c r="G45" s="139">
        <v>20</v>
      </c>
      <c r="H45" s="137">
        <f t="shared" ref="H45:H61" si="7">C45*G45*(1-D45)</f>
        <v>525.6</v>
      </c>
      <c r="I45" s="138">
        <f t="shared" ref="I45:I50" si="8">IF(F45=L$14,L45,IF(M45=M$14,M45,"-"))</f>
        <v>0.4</v>
      </c>
      <c r="J45" s="161">
        <f t="shared" si="4"/>
        <v>210.24</v>
      </c>
      <c r="K45" s="137"/>
      <c r="L45" s="50">
        <f t="shared" si="2"/>
        <v>0.4</v>
      </c>
      <c r="T45" s="1" t="s">
        <v>317</v>
      </c>
      <c r="U45" s="50" t="s">
        <v>327</v>
      </c>
    </row>
    <row r="46" spans="1:21" ht="12.75" customHeight="1" x14ac:dyDescent="0.2">
      <c r="A46" s="152">
        <v>29</v>
      </c>
      <c r="B46" s="163" t="s">
        <v>77</v>
      </c>
      <c r="C46" s="137">
        <v>20.2</v>
      </c>
      <c r="D46" s="137">
        <v>0.2</v>
      </c>
      <c r="E46" s="158" t="s">
        <v>11</v>
      </c>
      <c r="F46" s="168" t="s">
        <v>3</v>
      </c>
      <c r="G46" s="139">
        <v>20</v>
      </c>
      <c r="H46" s="137">
        <f t="shared" si="7"/>
        <v>323.20000000000005</v>
      </c>
      <c r="I46" s="138">
        <f t="shared" si="8"/>
        <v>0.4</v>
      </c>
      <c r="J46" s="161">
        <f t="shared" si="4"/>
        <v>129.28000000000003</v>
      </c>
      <c r="K46" s="137"/>
      <c r="L46" s="50">
        <f t="shared" si="2"/>
        <v>0.4</v>
      </c>
      <c r="T46" s="1" t="s">
        <v>317</v>
      </c>
      <c r="U46" s="50" t="s">
        <v>327</v>
      </c>
    </row>
    <row r="47" spans="1:21" ht="12.75" customHeight="1" x14ac:dyDescent="0.2">
      <c r="A47" s="152">
        <v>30</v>
      </c>
      <c r="B47" s="163" t="s">
        <v>261</v>
      </c>
      <c r="C47" s="137">
        <v>20.3</v>
      </c>
      <c r="D47" s="137">
        <v>0.2</v>
      </c>
      <c r="E47" s="158" t="s">
        <v>11</v>
      </c>
      <c r="F47" s="168" t="s">
        <v>3</v>
      </c>
      <c r="G47" s="139">
        <v>20</v>
      </c>
      <c r="H47" s="137">
        <f t="shared" si="7"/>
        <v>324.8</v>
      </c>
      <c r="I47" s="138">
        <f t="shared" si="8"/>
        <v>0.4</v>
      </c>
      <c r="J47" s="161">
        <f t="shared" si="4"/>
        <v>129.92000000000002</v>
      </c>
      <c r="K47" s="137"/>
      <c r="L47" s="50">
        <f t="shared" si="2"/>
        <v>0.4</v>
      </c>
      <c r="T47" s="1" t="s">
        <v>317</v>
      </c>
      <c r="U47" s="50" t="s">
        <v>327</v>
      </c>
    </row>
    <row r="48" spans="1:21" ht="12.75" customHeight="1" x14ac:dyDescent="0.2">
      <c r="A48" s="152">
        <v>31</v>
      </c>
      <c r="B48" s="163" t="s">
        <v>196</v>
      </c>
      <c r="C48" s="137">
        <v>42.2</v>
      </c>
      <c r="D48" s="137">
        <v>0.2</v>
      </c>
      <c r="E48" s="158" t="s">
        <v>11</v>
      </c>
      <c r="F48" s="168" t="s">
        <v>3</v>
      </c>
      <c r="G48" s="139">
        <v>8</v>
      </c>
      <c r="H48" s="137">
        <f>C48*G48*(1-D48)</f>
        <v>270.08000000000004</v>
      </c>
      <c r="I48" s="138">
        <f t="shared" si="8"/>
        <v>0.4</v>
      </c>
      <c r="J48" s="161">
        <f>H48*I48</f>
        <v>108.03200000000002</v>
      </c>
      <c r="K48" s="137"/>
      <c r="L48" s="50">
        <f t="shared" si="2"/>
        <v>0.4</v>
      </c>
      <c r="T48" s="1" t="s">
        <v>317</v>
      </c>
      <c r="U48" s="50" t="s">
        <v>327</v>
      </c>
    </row>
    <row r="49" spans="1:21" ht="12.75" customHeight="1" x14ac:dyDescent="0.2">
      <c r="A49" s="152">
        <v>32</v>
      </c>
      <c r="B49" s="163" t="s">
        <v>404</v>
      </c>
      <c r="C49" s="137">
        <v>14.5</v>
      </c>
      <c r="D49" s="137">
        <v>0.1</v>
      </c>
      <c r="E49" s="158" t="s">
        <v>11</v>
      </c>
      <c r="F49" s="168" t="s">
        <v>3</v>
      </c>
      <c r="G49" s="139">
        <v>8</v>
      </c>
      <c r="H49" s="137">
        <f t="shared" si="7"/>
        <v>104.4</v>
      </c>
      <c r="I49" s="138">
        <f t="shared" si="8"/>
        <v>0.4</v>
      </c>
      <c r="J49" s="161">
        <f t="shared" si="4"/>
        <v>41.760000000000005</v>
      </c>
      <c r="K49" s="137"/>
      <c r="L49" s="50">
        <f t="shared" si="2"/>
        <v>0.4</v>
      </c>
      <c r="T49" s="1" t="s">
        <v>317</v>
      </c>
      <c r="U49" s="50" t="s">
        <v>327</v>
      </c>
    </row>
    <row r="50" spans="1:21" ht="12.75" customHeight="1" x14ac:dyDescent="0.2">
      <c r="A50" s="152">
        <v>33</v>
      </c>
      <c r="B50" s="163" t="s">
        <v>197</v>
      </c>
      <c r="C50" s="137">
        <v>39.9</v>
      </c>
      <c r="D50" s="137">
        <v>0.2</v>
      </c>
      <c r="E50" s="158" t="s">
        <v>11</v>
      </c>
      <c r="F50" s="168" t="s">
        <v>3</v>
      </c>
      <c r="G50" s="139">
        <v>8</v>
      </c>
      <c r="H50" s="137">
        <f t="shared" si="7"/>
        <v>255.36</v>
      </c>
      <c r="I50" s="138">
        <f t="shared" si="8"/>
        <v>0.4</v>
      </c>
      <c r="J50" s="161">
        <f t="shared" si="4"/>
        <v>102.14400000000001</v>
      </c>
      <c r="K50" s="137"/>
      <c r="L50" s="50">
        <f t="shared" si="2"/>
        <v>0.4</v>
      </c>
      <c r="T50" s="1" t="s">
        <v>317</v>
      </c>
      <c r="U50" s="50" t="s">
        <v>327</v>
      </c>
    </row>
    <row r="51" spans="1:21" s="2" customFormat="1" ht="12.75" customHeight="1" x14ac:dyDescent="0.2">
      <c r="A51" s="152">
        <v>34</v>
      </c>
      <c r="B51" s="260" t="s">
        <v>78</v>
      </c>
      <c r="C51" s="6">
        <v>19</v>
      </c>
      <c r="D51" s="6">
        <v>0</v>
      </c>
      <c r="E51" s="248" t="s">
        <v>192</v>
      </c>
      <c r="F51" s="262" t="s">
        <v>3</v>
      </c>
      <c r="G51" s="215">
        <v>20</v>
      </c>
      <c r="H51" s="6">
        <f t="shared" si="7"/>
        <v>380</v>
      </c>
      <c r="I51" s="6">
        <v>1.1459999999999999</v>
      </c>
      <c r="J51" s="261">
        <f t="shared" si="4"/>
        <v>435.47999999999996</v>
      </c>
      <c r="K51" s="6">
        <f>J51</f>
        <v>435.47999999999996</v>
      </c>
      <c r="L51" s="140">
        <f t="shared" si="2"/>
        <v>0.4</v>
      </c>
      <c r="N51" s="219"/>
      <c r="T51" s="2" t="s">
        <v>329</v>
      </c>
      <c r="U51" s="140" t="s">
        <v>327</v>
      </c>
    </row>
    <row r="52" spans="1:21" ht="12.75" customHeight="1" x14ac:dyDescent="0.2">
      <c r="A52" s="152">
        <v>35</v>
      </c>
      <c r="B52" s="163" t="s">
        <v>80</v>
      </c>
      <c r="C52" s="137">
        <v>23.8</v>
      </c>
      <c r="D52" s="137">
        <v>0.2</v>
      </c>
      <c r="E52" s="158" t="s">
        <v>11</v>
      </c>
      <c r="F52" s="168" t="s">
        <v>3</v>
      </c>
      <c r="G52" s="139">
        <v>20</v>
      </c>
      <c r="H52" s="137">
        <f t="shared" si="7"/>
        <v>380.8</v>
      </c>
      <c r="I52" s="138">
        <f t="shared" ref="I52:I56" si="9">IF(F52=L$14,L52,IF(M52=M$14,M52,"-"))</f>
        <v>0.4</v>
      </c>
      <c r="J52" s="161">
        <f t="shared" si="4"/>
        <v>152.32000000000002</v>
      </c>
      <c r="K52" s="137"/>
      <c r="L52" s="50">
        <f t="shared" si="2"/>
        <v>0.4</v>
      </c>
      <c r="T52" s="1" t="s">
        <v>317</v>
      </c>
      <c r="U52" s="50" t="s">
        <v>327</v>
      </c>
    </row>
    <row r="53" spans="1:21" ht="12.75" customHeight="1" x14ac:dyDescent="0.2">
      <c r="A53" s="152">
        <v>36</v>
      </c>
      <c r="B53" s="163" t="s">
        <v>81</v>
      </c>
      <c r="C53" s="137">
        <v>23.2</v>
      </c>
      <c r="D53" s="137">
        <v>0.2</v>
      </c>
      <c r="E53" s="158" t="s">
        <v>11</v>
      </c>
      <c r="F53" s="168" t="s">
        <v>3</v>
      </c>
      <c r="G53" s="139">
        <v>8</v>
      </c>
      <c r="H53" s="137">
        <f t="shared" si="7"/>
        <v>148.47999999999999</v>
      </c>
      <c r="I53" s="138">
        <f t="shared" si="9"/>
        <v>0.4</v>
      </c>
      <c r="J53" s="161">
        <f t="shared" si="4"/>
        <v>59.391999999999996</v>
      </c>
      <c r="K53" s="137"/>
      <c r="L53" s="50">
        <f t="shared" si="2"/>
        <v>0.4</v>
      </c>
      <c r="T53" s="1" t="s">
        <v>317</v>
      </c>
      <c r="U53" s="50" t="s">
        <v>327</v>
      </c>
    </row>
    <row r="54" spans="1:21" ht="12.75" customHeight="1" x14ac:dyDescent="0.2">
      <c r="A54" s="152">
        <v>37</v>
      </c>
      <c r="B54" s="163" t="s">
        <v>198</v>
      </c>
      <c r="C54" s="137">
        <v>27.4</v>
      </c>
      <c r="D54" s="137">
        <v>0.2</v>
      </c>
      <c r="E54" s="158" t="s">
        <v>11</v>
      </c>
      <c r="F54" s="168" t="s">
        <v>3</v>
      </c>
      <c r="G54" s="139">
        <v>8</v>
      </c>
      <c r="H54" s="137">
        <f t="shared" si="7"/>
        <v>175.36</v>
      </c>
      <c r="I54" s="138">
        <f t="shared" si="9"/>
        <v>0.4</v>
      </c>
      <c r="J54" s="161">
        <f t="shared" si="4"/>
        <v>70.144000000000005</v>
      </c>
      <c r="K54" s="137"/>
      <c r="L54" s="50">
        <f t="shared" si="2"/>
        <v>0.4</v>
      </c>
      <c r="T54" s="1" t="s">
        <v>317</v>
      </c>
      <c r="U54" s="50" t="s">
        <v>327</v>
      </c>
    </row>
    <row r="55" spans="1:21" ht="12.75" customHeight="1" x14ac:dyDescent="0.2">
      <c r="A55" s="152">
        <v>38</v>
      </c>
      <c r="B55" s="163" t="s">
        <v>199</v>
      </c>
      <c r="C55" s="137">
        <v>24.1</v>
      </c>
      <c r="D55" s="137">
        <v>0.3</v>
      </c>
      <c r="E55" s="158" t="s">
        <v>11</v>
      </c>
      <c r="F55" s="168" t="s">
        <v>3</v>
      </c>
      <c r="G55" s="139">
        <v>8</v>
      </c>
      <c r="H55" s="137">
        <f t="shared" si="7"/>
        <v>134.96</v>
      </c>
      <c r="I55" s="138">
        <f t="shared" si="9"/>
        <v>0.47899999999999998</v>
      </c>
      <c r="J55" s="161">
        <f t="shared" si="4"/>
        <v>64.645840000000007</v>
      </c>
      <c r="K55" s="137"/>
      <c r="L55" s="50">
        <f t="shared" si="2"/>
        <v>0.47899999999999998</v>
      </c>
      <c r="T55" s="1" t="s">
        <v>321</v>
      </c>
      <c r="U55" s="50" t="s">
        <v>327</v>
      </c>
    </row>
    <row r="56" spans="1:21" ht="12.75" customHeight="1" x14ac:dyDescent="0.2">
      <c r="A56" s="152">
        <v>39</v>
      </c>
      <c r="B56" s="163" t="s">
        <v>79</v>
      </c>
      <c r="C56" s="137">
        <v>30.1</v>
      </c>
      <c r="D56" s="137">
        <v>0</v>
      </c>
      <c r="E56" s="158" t="s">
        <v>11</v>
      </c>
      <c r="F56" s="168" t="s">
        <v>3</v>
      </c>
      <c r="G56" s="139">
        <v>20</v>
      </c>
      <c r="H56" s="137">
        <f t="shared" si="7"/>
        <v>602</v>
      </c>
      <c r="I56" s="138">
        <f t="shared" si="9"/>
        <v>0.4</v>
      </c>
      <c r="J56" s="161">
        <f t="shared" si="4"/>
        <v>240.8</v>
      </c>
      <c r="K56" s="137"/>
      <c r="L56" s="50">
        <f t="shared" si="2"/>
        <v>0.4</v>
      </c>
      <c r="T56" s="1" t="s">
        <v>317</v>
      </c>
      <c r="U56" s="50" t="s">
        <v>327</v>
      </c>
    </row>
    <row r="57" spans="1:21" s="2" customFormat="1" ht="12.75" customHeight="1" x14ac:dyDescent="0.2">
      <c r="A57" s="152">
        <v>40</v>
      </c>
      <c r="B57" s="260" t="s">
        <v>336</v>
      </c>
      <c r="C57" s="6">
        <f>3.77*22</f>
        <v>82.94</v>
      </c>
      <c r="D57" s="6">
        <v>0</v>
      </c>
      <c r="E57" s="248" t="s">
        <v>283</v>
      </c>
      <c r="F57" s="262" t="s">
        <v>3</v>
      </c>
      <c r="G57" s="215">
        <v>0.1</v>
      </c>
      <c r="H57" s="6">
        <f t="shared" si="7"/>
        <v>8.2940000000000005</v>
      </c>
      <c r="I57" s="6">
        <v>3.51</v>
      </c>
      <c r="J57" s="261">
        <f t="shared" si="4"/>
        <v>29.111940000000001</v>
      </c>
      <c r="K57" s="6"/>
      <c r="L57" s="140">
        <f t="shared" si="2"/>
        <v>0.4</v>
      </c>
      <c r="N57" s="219"/>
      <c r="T57" s="233" t="s">
        <v>326</v>
      </c>
      <c r="U57" s="2" t="s">
        <v>320</v>
      </c>
    </row>
    <row r="58" spans="1:21" s="2" customFormat="1" ht="12.75" customHeight="1" x14ac:dyDescent="0.2">
      <c r="A58" s="152">
        <v>41</v>
      </c>
      <c r="B58" s="260" t="s">
        <v>337</v>
      </c>
      <c r="C58" s="6">
        <f>0.95*22</f>
        <v>20.9</v>
      </c>
      <c r="D58" s="6">
        <v>0</v>
      </c>
      <c r="E58" s="248" t="s">
        <v>283</v>
      </c>
      <c r="F58" s="262" t="s">
        <v>3</v>
      </c>
      <c r="G58" s="215">
        <v>1</v>
      </c>
      <c r="H58" s="6">
        <f t="shared" si="7"/>
        <v>20.9</v>
      </c>
      <c r="I58" s="6">
        <v>1.1499999999999999</v>
      </c>
      <c r="J58" s="261">
        <f t="shared" si="4"/>
        <v>24.034999999999997</v>
      </c>
      <c r="K58" s="6"/>
      <c r="L58" s="140">
        <f t="shared" si="2"/>
        <v>0.4</v>
      </c>
      <c r="N58" s="219"/>
      <c r="T58" s="233" t="s">
        <v>351</v>
      </c>
      <c r="U58" s="140" t="s">
        <v>327</v>
      </c>
    </row>
    <row r="59" spans="1:21" s="2" customFormat="1" ht="12" customHeight="1" x14ac:dyDescent="0.2">
      <c r="A59" s="152">
        <v>42</v>
      </c>
      <c r="B59" s="260" t="s">
        <v>342</v>
      </c>
      <c r="C59" s="6">
        <f>2.38*2*2</f>
        <v>9.52</v>
      </c>
      <c r="D59" s="6">
        <v>0</v>
      </c>
      <c r="E59" s="248" t="s">
        <v>283</v>
      </c>
      <c r="F59" s="262" t="s">
        <v>3</v>
      </c>
      <c r="G59" s="215">
        <v>20</v>
      </c>
      <c r="H59" s="6">
        <f t="shared" si="7"/>
        <v>190.39999999999998</v>
      </c>
      <c r="I59" s="6">
        <v>1.7</v>
      </c>
      <c r="J59" s="261">
        <f t="shared" si="4"/>
        <v>323.67999999999995</v>
      </c>
      <c r="K59" s="6"/>
      <c r="L59" s="140">
        <f t="shared" si="2"/>
        <v>0.4</v>
      </c>
      <c r="M59" s="234"/>
      <c r="N59" s="235"/>
      <c r="O59" s="234"/>
      <c r="P59" s="234"/>
      <c r="T59" s="2" t="s">
        <v>318</v>
      </c>
      <c r="U59" s="140" t="s">
        <v>327</v>
      </c>
    </row>
    <row r="60" spans="1:21" s="2" customFormat="1" ht="12" customHeight="1" x14ac:dyDescent="0.2">
      <c r="A60" s="152">
        <v>43</v>
      </c>
      <c r="B60" s="260" t="s">
        <v>338</v>
      </c>
      <c r="C60" s="6">
        <f>0.72*2</f>
        <v>1.44</v>
      </c>
      <c r="D60" s="6">
        <v>0</v>
      </c>
      <c r="E60" s="248" t="s">
        <v>283</v>
      </c>
      <c r="F60" s="262" t="s">
        <v>3</v>
      </c>
      <c r="G60" s="215">
        <v>0.1</v>
      </c>
      <c r="H60" s="6">
        <f t="shared" si="7"/>
        <v>0.14399999999999999</v>
      </c>
      <c r="I60" s="6">
        <v>4.43</v>
      </c>
      <c r="J60" s="261">
        <f t="shared" si="4"/>
        <v>0.63791999999999993</v>
      </c>
      <c r="K60" s="6"/>
      <c r="L60" s="140">
        <f t="shared" si="2"/>
        <v>0.4</v>
      </c>
      <c r="N60" s="219"/>
      <c r="T60" s="233" t="s">
        <v>319</v>
      </c>
      <c r="U60" s="2" t="s">
        <v>320</v>
      </c>
    </row>
    <row r="61" spans="1:21" s="2" customFormat="1" ht="12" customHeight="1" x14ac:dyDescent="0.2">
      <c r="A61" s="152">
        <v>44</v>
      </c>
      <c r="B61" s="260" t="s">
        <v>339</v>
      </c>
      <c r="C61" s="6">
        <f>(0.6*0.3)*2</f>
        <v>0.36</v>
      </c>
      <c r="D61" s="6">
        <v>0</v>
      </c>
      <c r="E61" s="248" t="s">
        <v>283</v>
      </c>
      <c r="F61" s="262" t="s">
        <v>3</v>
      </c>
      <c r="G61" s="215">
        <v>1</v>
      </c>
      <c r="H61" s="6">
        <f t="shared" si="7"/>
        <v>0.36</v>
      </c>
      <c r="I61" s="6">
        <v>1.1499999999999999</v>
      </c>
      <c r="J61" s="261">
        <f t="shared" si="4"/>
        <v>0.41399999999999998</v>
      </c>
      <c r="K61" s="6"/>
      <c r="L61" s="140">
        <f t="shared" si="2"/>
        <v>0.4</v>
      </c>
      <c r="N61" s="219"/>
      <c r="T61" s="233" t="s">
        <v>351</v>
      </c>
      <c r="U61" s="140" t="s">
        <v>327</v>
      </c>
    </row>
    <row r="62" spans="1:21" ht="15.75" customHeight="1" x14ac:dyDescent="0.25">
      <c r="A62" s="165"/>
      <c r="B62" s="166" t="s">
        <v>139</v>
      </c>
      <c r="C62" s="136"/>
      <c r="D62" s="136"/>
      <c r="E62" s="167"/>
      <c r="F62" s="136"/>
      <c r="G62" s="162"/>
      <c r="H62" s="136"/>
      <c r="I62" s="136"/>
      <c r="J62" s="136"/>
      <c r="K62" s="163"/>
      <c r="L62" s="50">
        <f t="shared" si="2"/>
        <v>0.4</v>
      </c>
    </row>
    <row r="63" spans="1:21" ht="12.75" customHeight="1" x14ac:dyDescent="0.2">
      <c r="A63" s="152">
        <v>45</v>
      </c>
      <c r="B63" s="163" t="s">
        <v>200</v>
      </c>
      <c r="C63" s="137">
        <v>44.1</v>
      </c>
      <c r="D63" s="137">
        <v>0.2</v>
      </c>
      <c r="E63" s="158" t="s">
        <v>11</v>
      </c>
      <c r="F63" s="158" t="s">
        <v>3</v>
      </c>
      <c r="G63" s="139">
        <v>8</v>
      </c>
      <c r="H63" s="137">
        <f t="shared" ref="H63:H77" si="10">C63*G63*(1-D63)</f>
        <v>282.24</v>
      </c>
      <c r="I63" s="138">
        <f t="shared" ref="I63:I67" si="11">IF(F63=L$14,L63,IF(M63=M$14,M63,"-"))</f>
        <v>0.4</v>
      </c>
      <c r="J63" s="161">
        <f t="shared" si="4"/>
        <v>112.89600000000002</v>
      </c>
      <c r="K63" s="137"/>
      <c r="L63" s="50">
        <f t="shared" si="2"/>
        <v>0.4</v>
      </c>
      <c r="T63" s="1" t="s">
        <v>317</v>
      </c>
      <c r="U63" s="50" t="s">
        <v>327</v>
      </c>
    </row>
    <row r="64" spans="1:21" x14ac:dyDescent="0.2">
      <c r="A64" s="152">
        <v>46</v>
      </c>
      <c r="B64" s="163" t="s">
        <v>262</v>
      </c>
      <c r="C64" s="137">
        <v>26.5</v>
      </c>
      <c r="D64" s="137">
        <v>0.2</v>
      </c>
      <c r="E64" s="158" t="s">
        <v>11</v>
      </c>
      <c r="F64" s="158" t="s">
        <v>3</v>
      </c>
      <c r="G64" s="139">
        <v>8</v>
      </c>
      <c r="H64" s="137">
        <f t="shared" si="10"/>
        <v>169.60000000000002</v>
      </c>
      <c r="I64" s="138">
        <f t="shared" si="11"/>
        <v>0.4</v>
      </c>
      <c r="J64" s="161">
        <f t="shared" si="4"/>
        <v>67.840000000000018</v>
      </c>
      <c r="K64" s="137"/>
      <c r="L64" s="50">
        <f t="shared" si="2"/>
        <v>0.4</v>
      </c>
      <c r="T64" s="1" t="s">
        <v>317</v>
      </c>
      <c r="U64" s="50" t="s">
        <v>327</v>
      </c>
    </row>
    <row r="65" spans="1:21" x14ac:dyDescent="0.2">
      <c r="A65" s="152">
        <v>47</v>
      </c>
      <c r="B65" s="163" t="s">
        <v>14</v>
      </c>
      <c r="C65" s="137">
        <v>10.9</v>
      </c>
      <c r="D65" s="137">
        <v>0.3</v>
      </c>
      <c r="E65" s="158" t="s">
        <v>11</v>
      </c>
      <c r="F65" s="158" t="s">
        <v>3</v>
      </c>
      <c r="G65" s="139">
        <v>8</v>
      </c>
      <c r="H65" s="137">
        <f t="shared" si="10"/>
        <v>61.04</v>
      </c>
      <c r="I65" s="138">
        <f t="shared" si="11"/>
        <v>0.47899999999999998</v>
      </c>
      <c r="J65" s="161">
        <f t="shared" si="4"/>
        <v>29.238159999999997</v>
      </c>
      <c r="K65" s="137"/>
      <c r="L65" s="50">
        <f t="shared" si="2"/>
        <v>0.47899999999999998</v>
      </c>
      <c r="T65" s="1" t="s">
        <v>321</v>
      </c>
      <c r="U65" s="50" t="s">
        <v>327</v>
      </c>
    </row>
    <row r="66" spans="1:21" x14ac:dyDescent="0.2">
      <c r="A66" s="152">
        <v>48</v>
      </c>
      <c r="B66" s="163" t="s">
        <v>405</v>
      </c>
      <c r="C66" s="137">
        <v>17.899999999999999</v>
      </c>
      <c r="D66" s="137">
        <v>0.3</v>
      </c>
      <c r="E66" s="158" t="s">
        <v>11</v>
      </c>
      <c r="F66" s="158" t="s">
        <v>3</v>
      </c>
      <c r="G66" s="139">
        <v>8</v>
      </c>
      <c r="H66" s="137">
        <f t="shared" si="10"/>
        <v>100.23999999999998</v>
      </c>
      <c r="I66" s="138">
        <f t="shared" si="11"/>
        <v>0.47899999999999998</v>
      </c>
      <c r="J66" s="161">
        <f t="shared" si="4"/>
        <v>48.014959999999988</v>
      </c>
      <c r="K66" s="137"/>
      <c r="L66" s="50">
        <f t="shared" si="2"/>
        <v>0.47899999999999998</v>
      </c>
      <c r="T66" s="1" t="s">
        <v>321</v>
      </c>
      <c r="U66" s="50" t="s">
        <v>327</v>
      </c>
    </row>
    <row r="67" spans="1:21" x14ac:dyDescent="0.2">
      <c r="A67" s="152">
        <v>49</v>
      </c>
      <c r="B67" s="163" t="s">
        <v>201</v>
      </c>
      <c r="C67" s="137">
        <v>7.27</v>
      </c>
      <c r="D67" s="137">
        <v>0.4</v>
      </c>
      <c r="E67" s="158" t="s">
        <v>4</v>
      </c>
      <c r="F67" s="158" t="s">
        <v>3</v>
      </c>
      <c r="G67" s="139">
        <v>8</v>
      </c>
      <c r="H67" s="137">
        <f t="shared" si="10"/>
        <v>34.895999999999994</v>
      </c>
      <c r="I67" s="138">
        <f t="shared" si="11"/>
        <v>0.47899999999999998</v>
      </c>
      <c r="J67" s="161">
        <f t="shared" si="4"/>
        <v>16.715183999999997</v>
      </c>
      <c r="K67" s="137"/>
      <c r="L67" s="50">
        <f t="shared" si="2"/>
        <v>0.47899999999999998</v>
      </c>
      <c r="T67" s="1" t="s">
        <v>321</v>
      </c>
      <c r="U67" s="50" t="s">
        <v>327</v>
      </c>
    </row>
    <row r="68" spans="1:21" s="2" customFormat="1" x14ac:dyDescent="0.2">
      <c r="A68" s="152">
        <v>50</v>
      </c>
      <c r="B68" s="260" t="s">
        <v>265</v>
      </c>
      <c r="C68" s="6">
        <v>11.4</v>
      </c>
      <c r="D68" s="6">
        <v>0</v>
      </c>
      <c r="E68" s="248" t="s">
        <v>192</v>
      </c>
      <c r="F68" s="248" t="s">
        <v>3</v>
      </c>
      <c r="G68" s="215">
        <v>20</v>
      </c>
      <c r="H68" s="6">
        <f t="shared" si="10"/>
        <v>228</v>
      </c>
      <c r="I68" s="6">
        <v>1.1459999999999999</v>
      </c>
      <c r="J68" s="261">
        <f t="shared" si="4"/>
        <v>261.28799999999995</v>
      </c>
      <c r="K68" s="6">
        <f>J68</f>
        <v>261.28799999999995</v>
      </c>
      <c r="L68" s="140">
        <f t="shared" si="2"/>
        <v>0.4</v>
      </c>
      <c r="N68" s="219"/>
      <c r="T68" s="2" t="s">
        <v>329</v>
      </c>
      <c r="U68" s="140" t="s">
        <v>327</v>
      </c>
    </row>
    <row r="69" spans="1:21" s="2" customFormat="1" x14ac:dyDescent="0.2">
      <c r="A69" s="152">
        <v>51</v>
      </c>
      <c r="B69" s="260" t="s">
        <v>263</v>
      </c>
      <c r="C69" s="6">
        <v>62.9</v>
      </c>
      <c r="D69" s="6">
        <v>0.1</v>
      </c>
      <c r="E69" s="248" t="s">
        <v>192</v>
      </c>
      <c r="F69" s="248" t="s">
        <v>3</v>
      </c>
      <c r="G69" s="215">
        <v>20</v>
      </c>
      <c r="H69" s="6">
        <f t="shared" si="10"/>
        <v>1132.2</v>
      </c>
      <c r="I69" s="213">
        <f t="shared" ref="I69:I70" si="12">IF(F69=L$14,L69,IF(M69=M$14,M69,"-"))</f>
        <v>0.4</v>
      </c>
      <c r="J69" s="261">
        <f t="shared" si="4"/>
        <v>452.88000000000005</v>
      </c>
      <c r="K69" s="6"/>
      <c r="L69" s="140">
        <f t="shared" si="2"/>
        <v>0.4</v>
      </c>
      <c r="N69" s="219"/>
      <c r="T69" s="2" t="s">
        <v>317</v>
      </c>
      <c r="U69" s="140" t="s">
        <v>327</v>
      </c>
    </row>
    <row r="70" spans="1:21" s="2" customFormat="1" x14ac:dyDescent="0.2">
      <c r="A70" s="152">
        <v>52</v>
      </c>
      <c r="B70" s="260" t="s">
        <v>264</v>
      </c>
      <c r="C70" s="6">
        <v>48.7</v>
      </c>
      <c r="D70" s="6">
        <v>0</v>
      </c>
      <c r="E70" s="248" t="s">
        <v>4</v>
      </c>
      <c r="F70" s="248" t="s">
        <v>3</v>
      </c>
      <c r="G70" s="215">
        <v>20</v>
      </c>
      <c r="H70" s="6">
        <f t="shared" si="10"/>
        <v>974</v>
      </c>
      <c r="I70" s="213">
        <f t="shared" si="12"/>
        <v>0.4</v>
      </c>
      <c r="J70" s="261">
        <f t="shared" si="4"/>
        <v>389.6</v>
      </c>
      <c r="K70" s="6"/>
      <c r="L70" s="140">
        <f t="shared" si="2"/>
        <v>0.4</v>
      </c>
      <c r="N70" s="219"/>
      <c r="T70" s="2" t="s">
        <v>317</v>
      </c>
      <c r="U70" s="140" t="s">
        <v>327</v>
      </c>
    </row>
    <row r="71" spans="1:21" s="2" customFormat="1" x14ac:dyDescent="0.2">
      <c r="A71" s="152">
        <v>53</v>
      </c>
      <c r="B71" s="260" t="s">
        <v>340</v>
      </c>
      <c r="C71" s="6">
        <f>3.77*17</f>
        <v>64.09</v>
      </c>
      <c r="D71" s="6">
        <v>0</v>
      </c>
      <c r="E71" s="248" t="s">
        <v>283</v>
      </c>
      <c r="F71" s="262" t="s">
        <v>3</v>
      </c>
      <c r="G71" s="215">
        <v>0.1</v>
      </c>
      <c r="H71" s="6">
        <f t="shared" si="10"/>
        <v>6.4090000000000007</v>
      </c>
      <c r="I71" s="6">
        <v>3.51</v>
      </c>
      <c r="J71" s="261">
        <f t="shared" ref="J71:J76" si="13">H71*I71</f>
        <v>22.49559</v>
      </c>
      <c r="K71" s="6"/>
      <c r="L71" s="140">
        <f t="shared" si="2"/>
        <v>0.4</v>
      </c>
      <c r="N71" s="219"/>
      <c r="T71" s="233" t="s">
        <v>326</v>
      </c>
      <c r="U71" s="2" t="s">
        <v>320</v>
      </c>
    </row>
    <row r="72" spans="1:21" s="2" customFormat="1" x14ac:dyDescent="0.2">
      <c r="A72" s="152">
        <v>54</v>
      </c>
      <c r="B72" s="260" t="s">
        <v>341</v>
      </c>
      <c r="C72" s="6">
        <f>0.95*17</f>
        <v>16.149999999999999</v>
      </c>
      <c r="D72" s="6">
        <v>0</v>
      </c>
      <c r="E72" s="248" t="s">
        <v>283</v>
      </c>
      <c r="F72" s="262" t="s">
        <v>3</v>
      </c>
      <c r="G72" s="215">
        <v>1</v>
      </c>
      <c r="H72" s="6">
        <f t="shared" si="10"/>
        <v>16.149999999999999</v>
      </c>
      <c r="I72" s="6">
        <v>1.1499999999999999</v>
      </c>
      <c r="J72" s="261">
        <f t="shared" si="13"/>
        <v>18.572499999999998</v>
      </c>
      <c r="K72" s="6"/>
      <c r="L72" s="140">
        <f t="shared" si="2"/>
        <v>0.4</v>
      </c>
      <c r="N72" s="219"/>
      <c r="T72" s="233" t="s">
        <v>351</v>
      </c>
      <c r="U72" s="140" t="s">
        <v>327</v>
      </c>
    </row>
    <row r="73" spans="1:21" s="2" customFormat="1" x14ac:dyDescent="0.2">
      <c r="A73" s="152">
        <v>55</v>
      </c>
      <c r="B73" s="260" t="s">
        <v>343</v>
      </c>
      <c r="C73" s="6">
        <f>(2.38*2+3.19*2)*2</f>
        <v>22.28</v>
      </c>
      <c r="D73" s="6">
        <v>0</v>
      </c>
      <c r="E73" s="248" t="s">
        <v>283</v>
      </c>
      <c r="F73" s="262" t="s">
        <v>3</v>
      </c>
      <c r="G73" s="215">
        <v>20</v>
      </c>
      <c r="H73" s="6">
        <f t="shared" si="10"/>
        <v>445.6</v>
      </c>
      <c r="I73" s="6">
        <v>1.7</v>
      </c>
      <c r="J73" s="261">
        <f t="shared" si="13"/>
        <v>757.52</v>
      </c>
      <c r="K73" s="6"/>
      <c r="L73" s="140">
        <f t="shared" si="2"/>
        <v>0.4</v>
      </c>
      <c r="N73" s="219"/>
      <c r="T73" s="2" t="s">
        <v>318</v>
      </c>
      <c r="U73" s="140" t="s">
        <v>327</v>
      </c>
    </row>
    <row r="74" spans="1:21" s="2" customFormat="1" x14ac:dyDescent="0.2">
      <c r="A74" s="152">
        <v>56</v>
      </c>
      <c r="B74" s="260" t="s">
        <v>284</v>
      </c>
      <c r="C74" s="6">
        <v>9.9</v>
      </c>
      <c r="D74" s="6">
        <v>0</v>
      </c>
      <c r="E74" s="248" t="s">
        <v>283</v>
      </c>
      <c r="F74" s="262" t="s">
        <v>3</v>
      </c>
      <c r="G74" s="215">
        <v>4</v>
      </c>
      <c r="H74" s="6">
        <f t="shared" si="10"/>
        <v>39.6</v>
      </c>
      <c r="I74" s="6">
        <v>1.7</v>
      </c>
      <c r="J74" s="261">
        <f>H74*I74</f>
        <v>67.320000000000007</v>
      </c>
      <c r="K74" s="6"/>
      <c r="L74" s="140">
        <f t="shared" si="2"/>
        <v>0.4</v>
      </c>
      <c r="N74" s="219"/>
      <c r="T74" s="2" t="s">
        <v>318</v>
      </c>
      <c r="U74" s="140" t="s">
        <v>327</v>
      </c>
    </row>
    <row r="75" spans="1:21" s="2" customFormat="1" x14ac:dyDescent="0.2">
      <c r="A75" s="152">
        <v>57</v>
      </c>
      <c r="B75" s="260" t="s">
        <v>344</v>
      </c>
      <c r="C75" s="6">
        <f>0.72*3</f>
        <v>2.16</v>
      </c>
      <c r="D75" s="6">
        <v>0</v>
      </c>
      <c r="E75" s="248" t="s">
        <v>283</v>
      </c>
      <c r="F75" s="262" t="s">
        <v>3</v>
      </c>
      <c r="G75" s="215">
        <v>0.1</v>
      </c>
      <c r="H75" s="6">
        <f t="shared" si="10"/>
        <v>0.21600000000000003</v>
      </c>
      <c r="I75" s="6">
        <v>4.43</v>
      </c>
      <c r="J75" s="261">
        <f t="shared" si="13"/>
        <v>0.95688000000000006</v>
      </c>
      <c r="K75" s="6"/>
      <c r="L75" s="140">
        <f t="shared" si="2"/>
        <v>0.4</v>
      </c>
      <c r="N75" s="219"/>
      <c r="T75" s="233" t="s">
        <v>319</v>
      </c>
      <c r="U75" s="2" t="s">
        <v>320</v>
      </c>
    </row>
    <row r="76" spans="1:21" s="2" customFormat="1" x14ac:dyDescent="0.2">
      <c r="A76" s="152">
        <v>58</v>
      </c>
      <c r="B76" s="260" t="s">
        <v>345</v>
      </c>
      <c r="C76" s="6">
        <f>(0.6*0.3)*3</f>
        <v>0.54</v>
      </c>
      <c r="D76" s="6">
        <v>0</v>
      </c>
      <c r="E76" s="248" t="s">
        <v>283</v>
      </c>
      <c r="F76" s="262" t="s">
        <v>3</v>
      </c>
      <c r="G76" s="215">
        <v>1</v>
      </c>
      <c r="H76" s="6">
        <f t="shared" si="10"/>
        <v>0.54</v>
      </c>
      <c r="I76" s="6">
        <v>1.1499999999999999</v>
      </c>
      <c r="J76" s="261">
        <f t="shared" si="13"/>
        <v>0.621</v>
      </c>
      <c r="K76" s="6"/>
      <c r="L76" s="140">
        <f t="shared" si="2"/>
        <v>0.4</v>
      </c>
      <c r="N76" s="219"/>
      <c r="T76" s="233" t="s">
        <v>351</v>
      </c>
      <c r="U76" s="140" t="s">
        <v>327</v>
      </c>
    </row>
    <row r="77" spans="1:21" x14ac:dyDescent="0.2">
      <c r="A77" s="152">
        <v>59</v>
      </c>
      <c r="B77" s="163" t="s">
        <v>16</v>
      </c>
      <c r="C77" s="137">
        <v>21.3</v>
      </c>
      <c r="D77" s="137">
        <v>0.3</v>
      </c>
      <c r="E77" s="158" t="s">
        <v>11</v>
      </c>
      <c r="F77" s="158" t="s">
        <v>3</v>
      </c>
      <c r="G77" s="139">
        <v>8</v>
      </c>
      <c r="H77" s="137">
        <f t="shared" si="10"/>
        <v>119.28</v>
      </c>
      <c r="I77" s="138">
        <f>IF(F77=L$14,L77,IF(M77=M$14,M77,"-"))</f>
        <v>0.47899999999999998</v>
      </c>
      <c r="J77" s="161">
        <f t="shared" si="4"/>
        <v>57.135120000000001</v>
      </c>
      <c r="K77" s="137"/>
      <c r="L77" s="50">
        <f t="shared" ref="L77:L138" si="14">IF(D77&gt;=P$11,IF(D77&lt;=P$12,P$13,0),0)+IF(D77&gt;=Q$11,IF(D77&lt;=Q$12,Q$13,0),0)+IF(D77&gt;=R$11,IF(D77&lt;=R$12,R$13,0),0)+IF(D77&gt;=S$11,IF(D77&lt;=S$12,S$13,0),0)</f>
        <v>0.47899999999999998</v>
      </c>
      <c r="T77" s="1" t="s">
        <v>321</v>
      </c>
      <c r="U77" s="50" t="s">
        <v>327</v>
      </c>
    </row>
    <row r="78" spans="1:21" ht="15.75" x14ac:dyDescent="0.25">
      <c r="A78" s="165"/>
      <c r="B78" s="166" t="s">
        <v>140</v>
      </c>
      <c r="C78" s="136"/>
      <c r="D78" s="136"/>
      <c r="E78" s="167"/>
      <c r="F78" s="136"/>
      <c r="G78" s="162"/>
      <c r="H78" s="136"/>
      <c r="I78" s="136"/>
      <c r="J78" s="136"/>
      <c r="K78" s="163"/>
      <c r="L78" s="50">
        <f t="shared" si="14"/>
        <v>0.4</v>
      </c>
    </row>
    <row r="79" spans="1:21" x14ac:dyDescent="0.2">
      <c r="A79" s="152">
        <v>60</v>
      </c>
      <c r="B79" s="163" t="s">
        <v>15</v>
      </c>
      <c r="C79" s="137">
        <v>169</v>
      </c>
      <c r="D79" s="137">
        <v>0</v>
      </c>
      <c r="E79" s="158" t="s">
        <v>125</v>
      </c>
      <c r="F79" s="158" t="s">
        <v>3</v>
      </c>
      <c r="G79" s="139">
        <v>1</v>
      </c>
      <c r="H79" s="137">
        <f t="shared" ref="H79:H98" si="15">C79*G79*(1-D79)</f>
        <v>169</v>
      </c>
      <c r="I79" s="138">
        <f t="shared" ref="I79:I81" si="16">IF(F79=L$14,L79,IF(M79=M$14,M79,"-"))</f>
        <v>0.4</v>
      </c>
      <c r="J79" s="161">
        <f t="shared" ref="J79:J136" si="17">H79*I79</f>
        <v>67.600000000000009</v>
      </c>
      <c r="K79" s="137"/>
      <c r="L79" s="50">
        <f t="shared" si="14"/>
        <v>0.4</v>
      </c>
      <c r="T79" s="1" t="s">
        <v>317</v>
      </c>
      <c r="U79" s="50" t="s">
        <v>327</v>
      </c>
    </row>
    <row r="80" spans="1:21" x14ac:dyDescent="0.2">
      <c r="A80" s="152">
        <v>61</v>
      </c>
      <c r="B80" s="163" t="s">
        <v>213</v>
      </c>
      <c r="C80" s="137">
        <v>12</v>
      </c>
      <c r="D80" s="137">
        <v>0.2</v>
      </c>
      <c r="E80" s="158" t="s">
        <v>192</v>
      </c>
      <c r="F80" s="158" t="s">
        <v>3</v>
      </c>
      <c r="G80" s="139">
        <v>8</v>
      </c>
      <c r="H80" s="137">
        <f t="shared" si="15"/>
        <v>76.800000000000011</v>
      </c>
      <c r="I80" s="138">
        <f t="shared" si="16"/>
        <v>0.4</v>
      </c>
      <c r="J80" s="161">
        <f t="shared" si="17"/>
        <v>30.720000000000006</v>
      </c>
      <c r="K80" s="137"/>
      <c r="L80" s="50">
        <f t="shared" si="14"/>
        <v>0.4</v>
      </c>
      <c r="T80" s="1" t="s">
        <v>317</v>
      </c>
      <c r="U80" s="50" t="s">
        <v>327</v>
      </c>
    </row>
    <row r="81" spans="1:21" x14ac:dyDescent="0.2">
      <c r="A81" s="152">
        <v>62</v>
      </c>
      <c r="B81" s="163" t="s">
        <v>214</v>
      </c>
      <c r="C81" s="137">
        <v>35</v>
      </c>
      <c r="D81" s="137">
        <v>0.2</v>
      </c>
      <c r="E81" s="158" t="s">
        <v>192</v>
      </c>
      <c r="F81" s="158" t="s">
        <v>3</v>
      </c>
      <c r="G81" s="139">
        <v>4</v>
      </c>
      <c r="H81" s="137">
        <f t="shared" si="15"/>
        <v>112</v>
      </c>
      <c r="I81" s="138">
        <f t="shared" si="16"/>
        <v>0.4</v>
      </c>
      <c r="J81" s="161">
        <f t="shared" si="17"/>
        <v>44.800000000000004</v>
      </c>
      <c r="K81" s="137"/>
      <c r="L81" s="50">
        <f t="shared" si="14"/>
        <v>0.4</v>
      </c>
      <c r="T81" s="1" t="s">
        <v>317</v>
      </c>
      <c r="U81" s="50" t="s">
        <v>327</v>
      </c>
    </row>
    <row r="82" spans="1:21" s="2" customFormat="1" x14ac:dyDescent="0.2">
      <c r="A82" s="152">
        <v>63</v>
      </c>
      <c r="B82" s="260" t="s">
        <v>215</v>
      </c>
      <c r="C82" s="6">
        <v>7.5</v>
      </c>
      <c r="D82" s="6">
        <v>0.1</v>
      </c>
      <c r="E82" s="248" t="s">
        <v>192</v>
      </c>
      <c r="F82" s="248" t="s">
        <v>3</v>
      </c>
      <c r="G82" s="215">
        <v>12</v>
      </c>
      <c r="H82" s="6">
        <f t="shared" si="15"/>
        <v>81</v>
      </c>
      <c r="I82" s="6">
        <v>1.1459999999999999</v>
      </c>
      <c r="J82" s="261">
        <f t="shared" si="17"/>
        <v>92.825999999999993</v>
      </c>
      <c r="K82" s="6">
        <f>J82</f>
        <v>92.825999999999993</v>
      </c>
      <c r="L82" s="140">
        <f t="shared" si="14"/>
        <v>0.4</v>
      </c>
      <c r="N82" s="219"/>
      <c r="T82" s="2" t="s">
        <v>329</v>
      </c>
      <c r="U82" s="140" t="s">
        <v>327</v>
      </c>
    </row>
    <row r="83" spans="1:21" s="2" customFormat="1" x14ac:dyDescent="0.2">
      <c r="A83" s="152">
        <v>64</v>
      </c>
      <c r="B83" s="260" t="s">
        <v>217</v>
      </c>
      <c r="C83" s="6">
        <v>40</v>
      </c>
      <c r="D83" s="6">
        <v>0</v>
      </c>
      <c r="E83" s="248" t="s">
        <v>192</v>
      </c>
      <c r="F83" s="248" t="s">
        <v>3</v>
      </c>
      <c r="G83" s="215">
        <v>20</v>
      </c>
      <c r="H83" s="6">
        <f t="shared" si="15"/>
        <v>800</v>
      </c>
      <c r="I83" s="6">
        <v>1.1459999999999999</v>
      </c>
      <c r="J83" s="261">
        <f t="shared" si="17"/>
        <v>916.8</v>
      </c>
      <c r="K83" s="6">
        <f>J83</f>
        <v>916.8</v>
      </c>
      <c r="L83" s="140">
        <f t="shared" si="14"/>
        <v>0.4</v>
      </c>
      <c r="N83" s="219"/>
      <c r="T83" s="2" t="s">
        <v>329</v>
      </c>
      <c r="U83" s="140" t="s">
        <v>327</v>
      </c>
    </row>
    <row r="84" spans="1:21" s="2" customFormat="1" x14ac:dyDescent="0.2">
      <c r="A84" s="152">
        <v>65</v>
      </c>
      <c r="B84" s="260" t="s">
        <v>216</v>
      </c>
      <c r="C84" s="6">
        <v>4</v>
      </c>
      <c r="D84" s="6">
        <v>0</v>
      </c>
      <c r="E84" s="248" t="s">
        <v>192</v>
      </c>
      <c r="F84" s="248" t="s">
        <v>3</v>
      </c>
      <c r="G84" s="215">
        <v>20</v>
      </c>
      <c r="H84" s="6">
        <f t="shared" si="15"/>
        <v>80</v>
      </c>
      <c r="I84" s="6">
        <v>1.1459999999999999</v>
      </c>
      <c r="J84" s="261">
        <f t="shared" si="17"/>
        <v>91.679999999999993</v>
      </c>
      <c r="K84" s="6">
        <f>J84</f>
        <v>91.679999999999993</v>
      </c>
      <c r="L84" s="140">
        <f t="shared" si="14"/>
        <v>0.4</v>
      </c>
      <c r="N84" s="219"/>
      <c r="T84" s="2" t="s">
        <v>329</v>
      </c>
      <c r="U84" s="140" t="s">
        <v>327</v>
      </c>
    </row>
    <row r="85" spans="1:21" s="2" customFormat="1" x14ac:dyDescent="0.2">
      <c r="A85" s="152">
        <v>66</v>
      </c>
      <c r="B85" s="260" t="s">
        <v>186</v>
      </c>
      <c r="C85" s="6">
        <v>49.7</v>
      </c>
      <c r="D85" s="6">
        <v>0</v>
      </c>
      <c r="E85" s="248" t="s">
        <v>192</v>
      </c>
      <c r="F85" s="248" t="s">
        <v>3</v>
      </c>
      <c r="G85" s="215">
        <v>4</v>
      </c>
      <c r="H85" s="6">
        <f t="shared" si="15"/>
        <v>198.8</v>
      </c>
      <c r="I85" s="213">
        <f t="shared" ref="I85:I86" si="18">IF(F85=L$14,L85,IF(M85=M$14,M85,"-"))</f>
        <v>0.4</v>
      </c>
      <c r="J85" s="261">
        <f t="shared" si="17"/>
        <v>79.52000000000001</v>
      </c>
      <c r="K85" s="6"/>
      <c r="L85" s="140">
        <f t="shared" si="14"/>
        <v>0.4</v>
      </c>
      <c r="N85" s="219"/>
      <c r="T85" s="2" t="s">
        <v>317</v>
      </c>
      <c r="U85" s="140" t="s">
        <v>327</v>
      </c>
    </row>
    <row r="86" spans="1:21" s="2" customFormat="1" x14ac:dyDescent="0.2">
      <c r="A86" s="152">
        <v>67</v>
      </c>
      <c r="B86" s="260" t="s">
        <v>185</v>
      </c>
      <c r="C86" s="6">
        <v>129</v>
      </c>
      <c r="D86" s="6">
        <v>0</v>
      </c>
      <c r="E86" s="248" t="s">
        <v>11</v>
      </c>
      <c r="F86" s="248" t="s">
        <v>3</v>
      </c>
      <c r="G86" s="215">
        <v>2</v>
      </c>
      <c r="H86" s="6">
        <f t="shared" si="15"/>
        <v>258</v>
      </c>
      <c r="I86" s="213">
        <f t="shared" si="18"/>
        <v>0.4</v>
      </c>
      <c r="J86" s="261">
        <f t="shared" si="17"/>
        <v>103.2</v>
      </c>
      <c r="K86" s="6"/>
      <c r="L86" s="140">
        <f t="shared" si="14"/>
        <v>0.4</v>
      </c>
      <c r="N86" s="219"/>
      <c r="T86" s="2" t="s">
        <v>317</v>
      </c>
      <c r="U86" s="140" t="s">
        <v>327</v>
      </c>
    </row>
    <row r="87" spans="1:21" s="2" customFormat="1" x14ac:dyDescent="0.2">
      <c r="A87" s="152">
        <v>68</v>
      </c>
      <c r="B87" s="260" t="s">
        <v>266</v>
      </c>
      <c r="C87" s="6">
        <v>8</v>
      </c>
      <c r="D87" s="6">
        <v>0</v>
      </c>
      <c r="E87" s="248" t="s">
        <v>192</v>
      </c>
      <c r="F87" s="248" t="s">
        <v>3</v>
      </c>
      <c r="G87" s="215">
        <v>20</v>
      </c>
      <c r="H87" s="6">
        <f t="shared" si="15"/>
        <v>160</v>
      </c>
      <c r="I87" s="6">
        <v>1.1459999999999999</v>
      </c>
      <c r="J87" s="261">
        <f t="shared" si="17"/>
        <v>183.35999999999999</v>
      </c>
      <c r="K87" s="6">
        <f>J87</f>
        <v>183.35999999999999</v>
      </c>
      <c r="L87" s="140">
        <f t="shared" si="14"/>
        <v>0.4</v>
      </c>
      <c r="N87" s="219"/>
      <c r="T87" s="2" t="s">
        <v>329</v>
      </c>
      <c r="U87" s="140" t="s">
        <v>327</v>
      </c>
    </row>
    <row r="88" spans="1:21" s="2" customFormat="1" x14ac:dyDescent="0.2">
      <c r="A88" s="152">
        <v>69</v>
      </c>
      <c r="B88" s="260" t="s">
        <v>18</v>
      </c>
      <c r="C88" s="6">
        <v>6</v>
      </c>
      <c r="D88" s="6">
        <v>0.1</v>
      </c>
      <c r="E88" s="248" t="s">
        <v>192</v>
      </c>
      <c r="F88" s="248" t="s">
        <v>3</v>
      </c>
      <c r="G88" s="215">
        <v>20</v>
      </c>
      <c r="H88" s="6">
        <f t="shared" si="15"/>
        <v>108</v>
      </c>
      <c r="I88" s="6">
        <v>1.1459999999999999</v>
      </c>
      <c r="J88" s="261">
        <f t="shared" si="17"/>
        <v>123.76799999999999</v>
      </c>
      <c r="K88" s="6">
        <f>J88</f>
        <v>123.76799999999999</v>
      </c>
      <c r="L88" s="140">
        <f t="shared" si="14"/>
        <v>0.4</v>
      </c>
      <c r="N88" s="219"/>
      <c r="T88" s="2" t="s">
        <v>329</v>
      </c>
      <c r="U88" s="140" t="s">
        <v>327</v>
      </c>
    </row>
    <row r="89" spans="1:21" s="2" customFormat="1" x14ac:dyDescent="0.2">
      <c r="A89" s="152">
        <v>70</v>
      </c>
      <c r="B89" s="260" t="s">
        <v>20</v>
      </c>
      <c r="C89" s="6">
        <v>22.8</v>
      </c>
      <c r="D89" s="6">
        <v>0</v>
      </c>
      <c r="E89" s="248" t="s">
        <v>192</v>
      </c>
      <c r="F89" s="248" t="s">
        <v>3</v>
      </c>
      <c r="G89" s="215">
        <v>20</v>
      </c>
      <c r="H89" s="6">
        <f t="shared" si="15"/>
        <v>456</v>
      </c>
      <c r="I89" s="6">
        <v>1.1459999999999999</v>
      </c>
      <c r="J89" s="261">
        <f t="shared" si="17"/>
        <v>522.57599999999991</v>
      </c>
      <c r="K89" s="6">
        <f>J89</f>
        <v>522.57599999999991</v>
      </c>
      <c r="L89" s="140">
        <f t="shared" si="14"/>
        <v>0.4</v>
      </c>
      <c r="N89" s="219"/>
      <c r="T89" s="2" t="s">
        <v>329</v>
      </c>
      <c r="U89" s="140" t="s">
        <v>327</v>
      </c>
    </row>
    <row r="90" spans="1:21" s="2" customFormat="1" x14ac:dyDescent="0.2">
      <c r="A90" s="152">
        <v>71</v>
      </c>
      <c r="B90" s="163" t="s">
        <v>309</v>
      </c>
      <c r="C90" s="137">
        <v>44.2</v>
      </c>
      <c r="D90" s="137">
        <v>0.3</v>
      </c>
      <c r="E90" s="158" t="s">
        <v>192</v>
      </c>
      <c r="F90" s="158" t="s">
        <v>3</v>
      </c>
      <c r="G90" s="139">
        <v>20</v>
      </c>
      <c r="H90" s="137">
        <f t="shared" si="15"/>
        <v>618.79999999999995</v>
      </c>
      <c r="I90" s="138">
        <f>IF(F90=L$14,L90,IF(M90=M$14,M90,"-"))</f>
        <v>0.47899999999999998</v>
      </c>
      <c r="J90" s="161">
        <f t="shared" si="17"/>
        <v>296.40519999999998</v>
      </c>
      <c r="K90" s="137"/>
      <c r="L90" s="50">
        <f t="shared" si="14"/>
        <v>0.47899999999999998</v>
      </c>
      <c r="N90" s="219"/>
      <c r="T90" s="1" t="s">
        <v>321</v>
      </c>
      <c r="U90" s="50" t="s">
        <v>327</v>
      </c>
    </row>
    <row r="91" spans="1:21" s="2" customFormat="1" x14ac:dyDescent="0.2">
      <c r="A91" s="152">
        <v>72</v>
      </c>
      <c r="B91" s="163" t="s">
        <v>305</v>
      </c>
      <c r="C91" s="137">
        <v>4.83</v>
      </c>
      <c r="D91" s="137">
        <v>0</v>
      </c>
      <c r="E91" s="158"/>
      <c r="F91" s="158" t="s">
        <v>3</v>
      </c>
      <c r="G91" s="139">
        <v>20</v>
      </c>
      <c r="H91" s="137">
        <f t="shared" si="15"/>
        <v>96.6</v>
      </c>
      <c r="I91" s="137">
        <v>1.1459999999999999</v>
      </c>
      <c r="J91" s="161">
        <f t="shared" si="17"/>
        <v>110.70359999999998</v>
      </c>
      <c r="K91" s="6">
        <f>J91</f>
        <v>110.70359999999998</v>
      </c>
      <c r="L91" s="140">
        <f t="shared" si="14"/>
        <v>0.4</v>
      </c>
      <c r="N91" s="219"/>
      <c r="T91" s="2" t="s">
        <v>329</v>
      </c>
      <c r="U91" s="140" t="s">
        <v>327</v>
      </c>
    </row>
    <row r="92" spans="1:21" s="2" customFormat="1" x14ac:dyDescent="0.2">
      <c r="A92" s="152">
        <v>73</v>
      </c>
      <c r="B92" s="163" t="s">
        <v>306</v>
      </c>
      <c r="C92" s="137">
        <v>5.81</v>
      </c>
      <c r="D92" s="137">
        <v>0</v>
      </c>
      <c r="E92" s="158"/>
      <c r="F92" s="158" t="s">
        <v>3</v>
      </c>
      <c r="G92" s="139">
        <v>20</v>
      </c>
      <c r="H92" s="137">
        <f t="shared" si="15"/>
        <v>116.19999999999999</v>
      </c>
      <c r="I92" s="137">
        <v>1.1459999999999999</v>
      </c>
      <c r="J92" s="161">
        <f t="shared" si="17"/>
        <v>133.16519999999997</v>
      </c>
      <c r="K92" s="6">
        <f>J92</f>
        <v>133.16519999999997</v>
      </c>
      <c r="L92" s="140">
        <f t="shared" si="14"/>
        <v>0.4</v>
      </c>
      <c r="N92" s="219"/>
      <c r="T92" s="2" t="s">
        <v>329</v>
      </c>
      <c r="U92" s="140" t="s">
        <v>327</v>
      </c>
    </row>
    <row r="93" spans="1:21" s="2" customFormat="1" x14ac:dyDescent="0.2">
      <c r="A93" s="152">
        <v>74</v>
      </c>
      <c r="B93" s="163" t="s">
        <v>307</v>
      </c>
      <c r="C93" s="137">
        <v>13.2</v>
      </c>
      <c r="D93" s="137">
        <v>0</v>
      </c>
      <c r="E93" s="158"/>
      <c r="F93" s="158" t="s">
        <v>3</v>
      </c>
      <c r="G93" s="139">
        <v>20</v>
      </c>
      <c r="H93" s="137">
        <f t="shared" si="15"/>
        <v>264</v>
      </c>
      <c r="I93" s="137">
        <v>1.1459999999999999</v>
      </c>
      <c r="J93" s="161">
        <f t="shared" si="17"/>
        <v>302.54399999999998</v>
      </c>
      <c r="K93" s="6">
        <f>J93</f>
        <v>302.54399999999998</v>
      </c>
      <c r="L93" s="140">
        <f t="shared" si="14"/>
        <v>0.4</v>
      </c>
      <c r="N93" s="219"/>
      <c r="T93" s="2" t="s">
        <v>329</v>
      </c>
      <c r="U93" s="140" t="s">
        <v>327</v>
      </c>
    </row>
    <row r="94" spans="1:21" s="2" customFormat="1" x14ac:dyDescent="0.2">
      <c r="A94" s="152">
        <v>75</v>
      </c>
      <c r="B94" s="163" t="s">
        <v>308</v>
      </c>
      <c r="C94" s="137">
        <v>10.9</v>
      </c>
      <c r="D94" s="137">
        <v>0</v>
      </c>
      <c r="E94" s="158"/>
      <c r="F94" s="158" t="s">
        <v>3</v>
      </c>
      <c r="G94" s="139">
        <v>20</v>
      </c>
      <c r="H94" s="137">
        <f t="shared" si="15"/>
        <v>218</v>
      </c>
      <c r="I94" s="138">
        <f t="shared" ref="I94:I95" si="19">IF(F94=L$14,L94,IF(M94=M$14,M94,"-"))</f>
        <v>0.4</v>
      </c>
      <c r="J94" s="161">
        <f t="shared" si="17"/>
        <v>87.2</v>
      </c>
      <c r="K94" s="6">
        <f>J94</f>
        <v>87.2</v>
      </c>
      <c r="L94" s="140">
        <f t="shared" si="14"/>
        <v>0.4</v>
      </c>
      <c r="N94" s="219"/>
      <c r="T94" s="2" t="s">
        <v>317</v>
      </c>
      <c r="U94" s="140" t="s">
        <v>327</v>
      </c>
    </row>
    <row r="95" spans="1:21" s="2" customFormat="1" x14ac:dyDescent="0.2">
      <c r="A95" s="152">
        <v>76</v>
      </c>
      <c r="B95" s="163" t="s">
        <v>310</v>
      </c>
      <c r="C95" s="137">
        <v>42.3</v>
      </c>
      <c r="D95" s="137">
        <v>0</v>
      </c>
      <c r="E95" s="158"/>
      <c r="F95" s="158" t="s">
        <v>3</v>
      </c>
      <c r="G95" s="139">
        <v>12</v>
      </c>
      <c r="H95" s="137">
        <f t="shared" si="15"/>
        <v>507.59999999999997</v>
      </c>
      <c r="I95" s="138">
        <f t="shared" si="19"/>
        <v>0.4</v>
      </c>
      <c r="J95" s="161">
        <f t="shared" si="17"/>
        <v>203.04</v>
      </c>
      <c r="K95" s="6">
        <f>J95</f>
        <v>203.04</v>
      </c>
      <c r="L95" s="140">
        <f t="shared" si="14"/>
        <v>0.4</v>
      </c>
      <c r="N95" s="219"/>
      <c r="T95" s="2" t="s">
        <v>317</v>
      </c>
      <c r="U95" s="140" t="s">
        <v>327</v>
      </c>
    </row>
    <row r="96" spans="1:21" s="2" customFormat="1" x14ac:dyDescent="0.2">
      <c r="A96" s="152">
        <v>77</v>
      </c>
      <c r="B96" s="163" t="s">
        <v>311</v>
      </c>
      <c r="C96" s="137">
        <v>12</v>
      </c>
      <c r="D96" s="137">
        <v>0</v>
      </c>
      <c r="E96" s="158" t="s">
        <v>192</v>
      </c>
      <c r="F96" s="158" t="s">
        <v>3</v>
      </c>
      <c r="G96" s="139">
        <v>20</v>
      </c>
      <c r="H96" s="137">
        <f t="shared" si="15"/>
        <v>240</v>
      </c>
      <c r="I96" s="137">
        <v>1.1459999999999999</v>
      </c>
      <c r="J96" s="161">
        <f t="shared" si="17"/>
        <v>275.03999999999996</v>
      </c>
      <c r="K96" s="6">
        <f t="shared" ref="K96:K98" si="20">J96</f>
        <v>275.03999999999996</v>
      </c>
      <c r="L96" s="140">
        <f t="shared" si="14"/>
        <v>0.4</v>
      </c>
      <c r="N96" s="219"/>
      <c r="T96" s="2" t="s">
        <v>329</v>
      </c>
      <c r="U96" s="140" t="s">
        <v>327</v>
      </c>
    </row>
    <row r="97" spans="1:21" s="2" customFormat="1" x14ac:dyDescent="0.2">
      <c r="A97" s="152">
        <v>78</v>
      </c>
      <c r="B97" s="163" t="s">
        <v>22</v>
      </c>
      <c r="C97" s="137">
        <v>20</v>
      </c>
      <c r="D97" s="137">
        <v>0.3</v>
      </c>
      <c r="E97" s="158" t="s">
        <v>192</v>
      </c>
      <c r="F97" s="158" t="s">
        <v>3</v>
      </c>
      <c r="G97" s="139">
        <v>1</v>
      </c>
      <c r="H97" s="137">
        <f t="shared" si="15"/>
        <v>14</v>
      </c>
      <c r="I97" s="138">
        <f>IF(F97=L$14,L97,IF(M97=M$14,M97,"-"))</f>
        <v>0.47899999999999998</v>
      </c>
      <c r="J97" s="161">
        <f t="shared" si="17"/>
        <v>6.7059999999999995</v>
      </c>
      <c r="K97" s="6"/>
      <c r="L97" s="140">
        <f t="shared" si="14"/>
        <v>0.47899999999999998</v>
      </c>
      <c r="N97" s="219"/>
      <c r="T97" s="2" t="s">
        <v>321</v>
      </c>
      <c r="U97" s="140" t="s">
        <v>327</v>
      </c>
    </row>
    <row r="98" spans="1:21" s="2" customFormat="1" x14ac:dyDescent="0.2">
      <c r="A98" s="152">
        <v>79</v>
      </c>
      <c r="B98" s="163" t="s">
        <v>132</v>
      </c>
      <c r="C98" s="137">
        <v>4.8</v>
      </c>
      <c r="D98" s="137">
        <v>0</v>
      </c>
      <c r="E98" s="158" t="s">
        <v>135</v>
      </c>
      <c r="F98" s="158" t="s">
        <v>3</v>
      </c>
      <c r="G98" s="139">
        <v>20</v>
      </c>
      <c r="H98" s="137">
        <f t="shared" si="15"/>
        <v>96</v>
      </c>
      <c r="I98" s="137">
        <v>1.1459999999999999</v>
      </c>
      <c r="J98" s="161">
        <f t="shared" si="17"/>
        <v>110.01599999999999</v>
      </c>
      <c r="K98" s="6">
        <f t="shared" si="20"/>
        <v>110.01599999999999</v>
      </c>
      <c r="L98" s="140">
        <f t="shared" si="14"/>
        <v>0.4</v>
      </c>
      <c r="N98" s="219"/>
      <c r="T98" s="2" t="s">
        <v>329</v>
      </c>
      <c r="U98" s="140" t="s">
        <v>327</v>
      </c>
    </row>
    <row r="99" spans="1:21" s="2" customFormat="1" x14ac:dyDescent="0.2">
      <c r="A99" s="152">
        <v>80</v>
      </c>
      <c r="B99" s="163" t="s">
        <v>133</v>
      </c>
      <c r="C99" s="137">
        <v>52.9</v>
      </c>
      <c r="D99" s="137">
        <v>0.2</v>
      </c>
      <c r="E99" s="158" t="s">
        <v>126</v>
      </c>
      <c r="F99" s="158" t="s">
        <v>3</v>
      </c>
      <c r="G99" s="139">
        <v>4</v>
      </c>
      <c r="H99" s="137">
        <f t="shared" ref="H99:H100" si="21">C99*G99*(1-D99)</f>
        <v>169.28</v>
      </c>
      <c r="I99" s="137">
        <v>1.1459999999999999</v>
      </c>
      <c r="J99" s="161">
        <f t="shared" ref="J99:J103" si="22">H99*I99</f>
        <v>193.99487999999999</v>
      </c>
      <c r="K99" s="6">
        <f t="shared" ref="K99" si="23">J99</f>
        <v>193.99487999999999</v>
      </c>
      <c r="L99" s="140"/>
      <c r="N99" s="219"/>
      <c r="U99" s="140"/>
    </row>
    <row r="100" spans="1:21" s="2" customFormat="1" x14ac:dyDescent="0.2">
      <c r="A100" s="152">
        <v>81</v>
      </c>
      <c r="B100" s="280" t="s">
        <v>385</v>
      </c>
      <c r="C100" s="272">
        <v>36</v>
      </c>
      <c r="D100" s="272">
        <v>0.5</v>
      </c>
      <c r="E100" s="273"/>
      <c r="F100" s="273" t="s">
        <v>3</v>
      </c>
      <c r="G100" s="275">
        <v>8</v>
      </c>
      <c r="H100" s="272">
        <f t="shared" si="21"/>
        <v>144</v>
      </c>
      <c r="I100" s="276">
        <f t="shared" ref="I100:I103" si="24">IF(F100=L$14,L100,IF(M100=M$14,M100,"-"))</f>
        <v>0.57399999999999995</v>
      </c>
      <c r="J100" s="281">
        <f t="shared" si="22"/>
        <v>82.655999999999992</v>
      </c>
      <c r="K100" s="272"/>
      <c r="L100" s="50">
        <f t="shared" si="14"/>
        <v>0.57399999999999995</v>
      </c>
      <c r="N100" s="219"/>
      <c r="U100" s="140"/>
    </row>
    <row r="101" spans="1:21" s="2" customFormat="1" x14ac:dyDescent="0.2">
      <c r="A101" s="152">
        <v>82</v>
      </c>
      <c r="B101" s="276" t="s">
        <v>386</v>
      </c>
      <c r="C101" s="276">
        <v>12</v>
      </c>
      <c r="D101" s="276">
        <v>0.5</v>
      </c>
      <c r="E101" s="276"/>
      <c r="F101" s="273" t="s">
        <v>3</v>
      </c>
      <c r="G101" s="276">
        <v>1</v>
      </c>
      <c r="H101" s="276">
        <f>C101*G101*(1-D101)</f>
        <v>6</v>
      </c>
      <c r="I101" s="276">
        <f t="shared" si="24"/>
        <v>0.57399999999999995</v>
      </c>
      <c r="J101" s="281">
        <f t="shared" si="22"/>
        <v>3.444</v>
      </c>
      <c r="K101" s="272"/>
      <c r="L101" s="50">
        <f t="shared" si="14"/>
        <v>0.57399999999999995</v>
      </c>
      <c r="N101" s="219"/>
      <c r="U101" s="140"/>
    </row>
    <row r="102" spans="1:21" s="2" customFormat="1" x14ac:dyDescent="0.2">
      <c r="A102" s="152">
        <v>83</v>
      </c>
      <c r="B102" s="280" t="s">
        <v>387</v>
      </c>
      <c r="C102" s="272">
        <v>15</v>
      </c>
      <c r="D102" s="272">
        <v>0.4</v>
      </c>
      <c r="E102" s="273"/>
      <c r="F102" s="273" t="s">
        <v>3</v>
      </c>
      <c r="G102" s="275">
        <v>4</v>
      </c>
      <c r="H102" s="272">
        <f>C102*G102*(1-D102)</f>
        <v>36</v>
      </c>
      <c r="I102" s="276">
        <f t="shared" si="24"/>
        <v>0.47899999999999998</v>
      </c>
      <c r="J102" s="281">
        <f t="shared" si="22"/>
        <v>17.244</v>
      </c>
      <c r="K102" s="272"/>
      <c r="L102" s="50">
        <f t="shared" si="14"/>
        <v>0.47899999999999998</v>
      </c>
      <c r="N102" s="219"/>
      <c r="U102" s="140"/>
    </row>
    <row r="103" spans="1:21" s="2" customFormat="1" x14ac:dyDescent="0.2">
      <c r="A103" s="152">
        <v>84</v>
      </c>
      <c r="B103" s="272" t="s">
        <v>388</v>
      </c>
      <c r="C103" s="272">
        <v>20</v>
      </c>
      <c r="D103" s="272">
        <v>0.4</v>
      </c>
      <c r="E103" s="272"/>
      <c r="F103" s="273" t="s">
        <v>3</v>
      </c>
      <c r="G103" s="272">
        <v>1</v>
      </c>
      <c r="H103" s="272">
        <f>C103*G103*(1-D103)</f>
        <v>12</v>
      </c>
      <c r="I103" s="276">
        <f t="shared" si="24"/>
        <v>0.47899999999999998</v>
      </c>
      <c r="J103" s="281">
        <f t="shared" si="22"/>
        <v>5.7479999999999993</v>
      </c>
      <c r="K103" s="272"/>
      <c r="L103" s="50">
        <f t="shared" si="14"/>
        <v>0.47899999999999998</v>
      </c>
      <c r="N103" s="219"/>
      <c r="U103" s="140"/>
    </row>
    <row r="104" spans="1:21" ht="15.75" x14ac:dyDescent="0.25">
      <c r="A104" s="165"/>
      <c r="B104" s="166" t="s">
        <v>141</v>
      </c>
      <c r="C104" s="136"/>
      <c r="D104" s="136"/>
      <c r="E104" s="167"/>
      <c r="F104" s="136"/>
      <c r="G104" s="162"/>
      <c r="H104" s="136"/>
      <c r="I104" s="136"/>
      <c r="J104" s="136"/>
      <c r="K104" s="163"/>
      <c r="L104" s="50">
        <f t="shared" si="14"/>
        <v>0.4</v>
      </c>
    </row>
    <row r="105" spans="1:21" ht="15.75" customHeight="1" x14ac:dyDescent="0.2">
      <c r="A105" s="152">
        <v>85</v>
      </c>
      <c r="B105" s="151" t="s">
        <v>202</v>
      </c>
      <c r="C105" s="137">
        <v>154</v>
      </c>
      <c r="D105" s="137">
        <v>0.2</v>
      </c>
      <c r="E105" s="169" t="s">
        <v>193</v>
      </c>
      <c r="F105" s="158" t="s">
        <v>3</v>
      </c>
      <c r="G105" s="139">
        <v>8</v>
      </c>
      <c r="H105" s="137">
        <f t="shared" ref="H105:H112" si="25">C105*G105*(1-D105)</f>
        <v>985.6</v>
      </c>
      <c r="I105" s="138">
        <f>IF(F105=L$14,L105,IF(M105=M$14,M105,"-"))</f>
        <v>0.4</v>
      </c>
      <c r="J105" s="161">
        <f t="shared" si="17"/>
        <v>394.24</v>
      </c>
      <c r="K105" s="137"/>
      <c r="L105" s="50">
        <f t="shared" si="14"/>
        <v>0.4</v>
      </c>
      <c r="T105" s="1" t="s">
        <v>317</v>
      </c>
      <c r="U105" s="50" t="s">
        <v>327</v>
      </c>
    </row>
    <row r="106" spans="1:21" s="2" customFormat="1" x14ac:dyDescent="0.2">
      <c r="A106" s="152">
        <v>86</v>
      </c>
      <c r="B106" s="163" t="s">
        <v>267</v>
      </c>
      <c r="C106" s="137">
        <v>6</v>
      </c>
      <c r="D106" s="137">
        <v>0</v>
      </c>
      <c r="E106" s="158" t="s">
        <v>192</v>
      </c>
      <c r="F106" s="158" t="s">
        <v>3</v>
      </c>
      <c r="G106" s="139">
        <v>20</v>
      </c>
      <c r="H106" s="137">
        <f t="shared" si="25"/>
        <v>120</v>
      </c>
      <c r="I106" s="137">
        <v>1.1459999999999999</v>
      </c>
      <c r="J106" s="161">
        <f t="shared" si="17"/>
        <v>137.51999999999998</v>
      </c>
      <c r="K106" s="6">
        <f>J106</f>
        <v>137.51999999999998</v>
      </c>
      <c r="L106" s="140">
        <f t="shared" si="14"/>
        <v>0.4</v>
      </c>
      <c r="N106" s="219"/>
      <c r="T106" s="2" t="s">
        <v>329</v>
      </c>
      <c r="U106" s="140" t="s">
        <v>327</v>
      </c>
    </row>
    <row r="107" spans="1:21" s="2" customFormat="1" x14ac:dyDescent="0.2">
      <c r="A107" s="152">
        <v>87</v>
      </c>
      <c r="B107" s="163" t="s">
        <v>367</v>
      </c>
      <c r="C107" s="137">
        <v>58</v>
      </c>
      <c r="D107" s="137">
        <v>0.4</v>
      </c>
      <c r="E107" s="158" t="s">
        <v>192</v>
      </c>
      <c r="F107" s="158" t="s">
        <v>3</v>
      </c>
      <c r="G107" s="139">
        <v>4</v>
      </c>
      <c r="H107" s="137">
        <f t="shared" si="25"/>
        <v>139.19999999999999</v>
      </c>
      <c r="I107" s="138">
        <f t="shared" ref="I107:I109" si="26">IF(F107=L$14,L107,IF(M107=M$14,M107,"-"))</f>
        <v>0.47899999999999998</v>
      </c>
      <c r="J107" s="161">
        <f t="shared" si="17"/>
        <v>66.676799999999986</v>
      </c>
      <c r="K107" s="6"/>
      <c r="L107" s="140">
        <f t="shared" si="14"/>
        <v>0.47899999999999998</v>
      </c>
      <c r="N107" s="219"/>
      <c r="T107" s="2" t="s">
        <v>321</v>
      </c>
      <c r="U107" s="140" t="s">
        <v>327</v>
      </c>
    </row>
    <row r="108" spans="1:21" s="2" customFormat="1" x14ac:dyDescent="0.2">
      <c r="A108" s="152">
        <v>88</v>
      </c>
      <c r="B108" s="163" t="s">
        <v>368</v>
      </c>
      <c r="C108" s="137">
        <v>57</v>
      </c>
      <c r="D108" s="137">
        <v>0.5</v>
      </c>
      <c r="E108" s="158"/>
      <c r="F108" s="158" t="s">
        <v>3</v>
      </c>
      <c r="G108" s="139">
        <v>4</v>
      </c>
      <c r="H108" s="137">
        <f t="shared" si="25"/>
        <v>114</v>
      </c>
      <c r="I108" s="138">
        <f t="shared" si="26"/>
        <v>0.57399999999999995</v>
      </c>
      <c r="J108" s="161">
        <f t="shared" si="17"/>
        <v>65.435999999999993</v>
      </c>
      <c r="K108" s="6"/>
      <c r="L108" s="140">
        <f t="shared" si="14"/>
        <v>0.57399999999999995</v>
      </c>
      <c r="N108" s="219"/>
      <c r="U108" s="140"/>
    </row>
    <row r="109" spans="1:21" s="2" customFormat="1" x14ac:dyDescent="0.2">
      <c r="A109" s="152">
        <v>89</v>
      </c>
      <c r="B109" s="163" t="s">
        <v>44</v>
      </c>
      <c r="C109" s="137">
        <v>136</v>
      </c>
      <c r="D109" s="137">
        <v>0.3</v>
      </c>
      <c r="E109" s="158" t="s">
        <v>192</v>
      </c>
      <c r="F109" s="158" t="s">
        <v>3</v>
      </c>
      <c r="G109" s="139">
        <v>8</v>
      </c>
      <c r="H109" s="137">
        <f t="shared" si="25"/>
        <v>761.59999999999991</v>
      </c>
      <c r="I109" s="138">
        <f t="shared" si="26"/>
        <v>0.47899999999999998</v>
      </c>
      <c r="J109" s="161">
        <f t="shared" si="17"/>
        <v>364.80639999999994</v>
      </c>
      <c r="K109" s="6"/>
      <c r="L109" s="140">
        <f t="shared" si="14"/>
        <v>0.47899999999999998</v>
      </c>
      <c r="N109" s="219"/>
      <c r="T109" s="2" t="s">
        <v>321</v>
      </c>
      <c r="U109" s="140" t="s">
        <v>327</v>
      </c>
    </row>
    <row r="110" spans="1:21" s="2" customFormat="1" x14ac:dyDescent="0.2">
      <c r="A110" s="152">
        <v>90</v>
      </c>
      <c r="B110" s="163" t="s">
        <v>268</v>
      </c>
      <c r="C110" s="137">
        <v>6</v>
      </c>
      <c r="D110" s="137">
        <v>0</v>
      </c>
      <c r="E110" s="158" t="s">
        <v>192</v>
      </c>
      <c r="F110" s="158" t="s">
        <v>3</v>
      </c>
      <c r="G110" s="139">
        <v>20</v>
      </c>
      <c r="H110" s="137">
        <f t="shared" si="25"/>
        <v>120</v>
      </c>
      <c r="I110" s="137">
        <v>1.1459999999999999</v>
      </c>
      <c r="J110" s="161">
        <f t="shared" si="17"/>
        <v>137.51999999999998</v>
      </c>
      <c r="K110" s="6">
        <f>J110</f>
        <v>137.51999999999998</v>
      </c>
      <c r="L110" s="140">
        <f t="shared" si="14"/>
        <v>0.4</v>
      </c>
      <c r="N110" s="219"/>
      <c r="T110" s="2" t="s">
        <v>329</v>
      </c>
      <c r="U110" s="140" t="s">
        <v>327</v>
      </c>
    </row>
    <row r="111" spans="1:21" s="2" customFormat="1" x14ac:dyDescent="0.2">
      <c r="A111" s="152">
        <v>91</v>
      </c>
      <c r="B111" s="163" t="s">
        <v>269</v>
      </c>
      <c r="C111" s="137">
        <v>15</v>
      </c>
      <c r="D111" s="137">
        <v>0</v>
      </c>
      <c r="E111" s="158" t="s">
        <v>192</v>
      </c>
      <c r="F111" s="158" t="s">
        <v>3</v>
      </c>
      <c r="G111" s="139">
        <v>20</v>
      </c>
      <c r="H111" s="137">
        <f t="shared" si="25"/>
        <v>300</v>
      </c>
      <c r="I111" s="137">
        <v>1.1459999999999999</v>
      </c>
      <c r="J111" s="161">
        <f t="shared" si="17"/>
        <v>343.79999999999995</v>
      </c>
      <c r="K111" s="6">
        <f>J111</f>
        <v>343.79999999999995</v>
      </c>
      <c r="L111" s="140">
        <f t="shared" si="14"/>
        <v>0.4</v>
      </c>
      <c r="N111" s="219"/>
      <c r="T111" s="2" t="s">
        <v>329</v>
      </c>
      <c r="U111" s="140" t="s">
        <v>327</v>
      </c>
    </row>
    <row r="112" spans="1:21" s="2" customFormat="1" x14ac:dyDescent="0.2">
      <c r="A112" s="152">
        <v>92</v>
      </c>
      <c r="B112" s="163" t="s">
        <v>270</v>
      </c>
      <c r="C112" s="137">
        <v>5</v>
      </c>
      <c r="D112" s="137">
        <v>0</v>
      </c>
      <c r="E112" s="158" t="s">
        <v>192</v>
      </c>
      <c r="F112" s="158" t="s">
        <v>3</v>
      </c>
      <c r="G112" s="139">
        <v>20</v>
      </c>
      <c r="H112" s="137">
        <f t="shared" si="25"/>
        <v>100</v>
      </c>
      <c r="I112" s="137">
        <v>1.1459999999999999</v>
      </c>
      <c r="J112" s="161">
        <f t="shared" si="17"/>
        <v>114.6</v>
      </c>
      <c r="K112" s="6">
        <f>J112</f>
        <v>114.6</v>
      </c>
      <c r="L112" s="140">
        <f t="shared" si="14"/>
        <v>0.4</v>
      </c>
      <c r="N112" s="219"/>
      <c r="T112" s="2" t="s">
        <v>329</v>
      </c>
      <c r="U112" s="140" t="s">
        <v>327</v>
      </c>
    </row>
    <row r="113" spans="1:21" ht="15.75" x14ac:dyDescent="0.25">
      <c r="A113" s="165"/>
      <c r="B113" s="166" t="s">
        <v>47</v>
      </c>
      <c r="C113" s="136"/>
      <c r="D113" s="136"/>
      <c r="E113" s="167"/>
      <c r="F113" s="136"/>
      <c r="G113" s="162"/>
      <c r="H113" s="136"/>
      <c r="I113" s="136"/>
      <c r="J113" s="136"/>
      <c r="K113" s="163"/>
      <c r="L113" s="50">
        <f t="shared" si="14"/>
        <v>0.4</v>
      </c>
    </row>
    <row r="114" spans="1:21" ht="12.75" customHeight="1" x14ac:dyDescent="0.2">
      <c r="A114" s="152">
        <v>93</v>
      </c>
      <c r="B114" s="163" t="s">
        <v>136</v>
      </c>
      <c r="C114" s="137">
        <v>163.6</v>
      </c>
      <c r="D114" s="137">
        <v>0.1</v>
      </c>
      <c r="E114" s="158" t="s">
        <v>131</v>
      </c>
      <c r="F114" s="158" t="s">
        <v>3</v>
      </c>
      <c r="G114" s="139">
        <v>8</v>
      </c>
      <c r="H114" s="137">
        <f t="shared" ref="H114:H120" si="27">C114*G114*(1-D114)</f>
        <v>1177.92</v>
      </c>
      <c r="I114" s="138">
        <f t="shared" ref="I114:I117" si="28">IF(F114=L$14,L114,IF(M114=M$14,M114,"-"))</f>
        <v>0.4</v>
      </c>
      <c r="J114" s="161">
        <f t="shared" si="17"/>
        <v>471.16800000000006</v>
      </c>
      <c r="K114" s="137"/>
      <c r="L114" s="50">
        <f t="shared" si="14"/>
        <v>0.4</v>
      </c>
      <c r="T114" s="1" t="s">
        <v>317</v>
      </c>
      <c r="U114" s="50" t="s">
        <v>327</v>
      </c>
    </row>
    <row r="115" spans="1:21" x14ac:dyDescent="0.2">
      <c r="A115" s="152">
        <v>94</v>
      </c>
      <c r="B115" s="163" t="s">
        <v>127</v>
      </c>
      <c r="C115" s="137">
        <v>65.5</v>
      </c>
      <c r="D115" s="137">
        <v>0</v>
      </c>
      <c r="E115" s="158" t="s">
        <v>135</v>
      </c>
      <c r="F115" s="158" t="s">
        <v>3</v>
      </c>
      <c r="G115" s="139">
        <v>8</v>
      </c>
      <c r="H115" s="137">
        <f t="shared" si="27"/>
        <v>524</v>
      </c>
      <c r="I115" s="138">
        <f t="shared" si="28"/>
        <v>0.4</v>
      </c>
      <c r="J115" s="161">
        <f t="shared" si="17"/>
        <v>209.60000000000002</v>
      </c>
      <c r="K115" s="137"/>
      <c r="L115" s="50">
        <f t="shared" si="14"/>
        <v>0.4</v>
      </c>
      <c r="T115" s="1" t="s">
        <v>317</v>
      </c>
      <c r="U115" s="50" t="s">
        <v>327</v>
      </c>
    </row>
    <row r="116" spans="1:21" x14ac:dyDescent="0.2">
      <c r="A116" s="152">
        <v>95</v>
      </c>
      <c r="B116" s="163" t="s">
        <v>128</v>
      </c>
      <c r="C116" s="137">
        <v>30.9</v>
      </c>
      <c r="D116" s="137">
        <v>0.2</v>
      </c>
      <c r="E116" s="158" t="s">
        <v>134</v>
      </c>
      <c r="F116" s="158" t="s">
        <v>3</v>
      </c>
      <c r="G116" s="139">
        <v>4</v>
      </c>
      <c r="H116" s="137">
        <f t="shared" si="27"/>
        <v>98.88</v>
      </c>
      <c r="I116" s="138">
        <f t="shared" si="28"/>
        <v>0.4</v>
      </c>
      <c r="J116" s="161">
        <f t="shared" si="17"/>
        <v>39.552</v>
      </c>
      <c r="K116" s="137"/>
      <c r="L116" s="50">
        <f t="shared" si="14"/>
        <v>0.4</v>
      </c>
      <c r="T116" s="1" t="s">
        <v>317</v>
      </c>
      <c r="U116" s="50" t="s">
        <v>327</v>
      </c>
    </row>
    <row r="117" spans="1:21" ht="14.25" customHeight="1" x14ac:dyDescent="0.2">
      <c r="A117" s="152">
        <v>96</v>
      </c>
      <c r="B117" s="163" t="s">
        <v>218</v>
      </c>
      <c r="C117" s="137">
        <v>16</v>
      </c>
      <c r="D117" s="137">
        <v>0.2</v>
      </c>
      <c r="E117" s="158" t="s">
        <v>192</v>
      </c>
      <c r="F117" s="158" t="s">
        <v>3</v>
      </c>
      <c r="G117" s="139">
        <v>0.1</v>
      </c>
      <c r="H117" s="137">
        <f t="shared" si="27"/>
        <v>1.2800000000000002</v>
      </c>
      <c r="I117" s="138">
        <f t="shared" si="28"/>
        <v>0.4</v>
      </c>
      <c r="J117" s="161">
        <f>H117*I117</f>
        <v>0.51200000000000012</v>
      </c>
      <c r="K117" s="137"/>
      <c r="L117" s="50">
        <f t="shared" si="14"/>
        <v>0.4</v>
      </c>
      <c r="T117" s="1" t="s">
        <v>317</v>
      </c>
      <c r="U117" s="50" t="s">
        <v>327</v>
      </c>
    </row>
    <row r="118" spans="1:21" s="2" customFormat="1" ht="14.25" customHeight="1" x14ac:dyDescent="0.2">
      <c r="A118" s="152">
        <v>97</v>
      </c>
      <c r="B118" s="263" t="s">
        <v>282</v>
      </c>
      <c r="C118" s="264">
        <f>(1.75*1)*25+(1.75*0.64)*5+(1.75*1.13)*5</f>
        <v>59.237499999999997</v>
      </c>
      <c r="D118" s="6">
        <v>0</v>
      </c>
      <c r="E118" s="248" t="s">
        <v>130</v>
      </c>
      <c r="F118" s="248" t="s">
        <v>3</v>
      </c>
      <c r="G118" s="215">
        <v>0.1</v>
      </c>
      <c r="H118" s="6">
        <f t="shared" si="27"/>
        <v>5.9237500000000001</v>
      </c>
      <c r="I118" s="6">
        <v>4.43</v>
      </c>
      <c r="J118" s="261">
        <f t="shared" si="17"/>
        <v>26.242212499999997</v>
      </c>
      <c r="K118" s="6"/>
      <c r="L118" s="140">
        <f t="shared" si="14"/>
        <v>0.4</v>
      </c>
      <c r="N118" s="219"/>
      <c r="T118" s="233" t="s">
        <v>319</v>
      </c>
      <c r="U118" s="2" t="s">
        <v>320</v>
      </c>
    </row>
    <row r="119" spans="1:21" s="2" customFormat="1" ht="14.25" customHeight="1" x14ac:dyDescent="0.2">
      <c r="A119" s="152">
        <v>98</v>
      </c>
      <c r="B119" s="263" t="s">
        <v>347</v>
      </c>
      <c r="C119" s="6">
        <f>(0.6*1)*6+(0.6*0.64)*5+(0.6*1.13)*5</f>
        <v>8.91</v>
      </c>
      <c r="D119" s="6">
        <v>0</v>
      </c>
      <c r="E119" s="248"/>
      <c r="F119" s="248" t="s">
        <v>3</v>
      </c>
      <c r="G119" s="265">
        <v>4</v>
      </c>
      <c r="H119" s="6">
        <f t="shared" si="27"/>
        <v>35.64</v>
      </c>
      <c r="I119" s="6">
        <v>1.1499999999999999</v>
      </c>
      <c r="J119" s="261">
        <f t="shared" si="17"/>
        <v>40.985999999999997</v>
      </c>
      <c r="K119" s="6"/>
      <c r="L119" s="140"/>
      <c r="N119" s="219"/>
      <c r="T119" s="233" t="s">
        <v>351</v>
      </c>
      <c r="U119" s="140" t="s">
        <v>327</v>
      </c>
    </row>
    <row r="120" spans="1:21" s="140" customFormat="1" ht="14.25" customHeight="1" x14ac:dyDescent="0.2">
      <c r="A120" s="152">
        <v>99</v>
      </c>
      <c r="B120" s="266" t="s">
        <v>346</v>
      </c>
      <c r="C120" s="213">
        <f>2.38*2*2</f>
        <v>9.52</v>
      </c>
      <c r="D120" s="213">
        <v>0</v>
      </c>
      <c r="E120" s="214" t="s">
        <v>48</v>
      </c>
      <c r="F120" s="248" t="s">
        <v>3</v>
      </c>
      <c r="G120" s="256">
        <v>4</v>
      </c>
      <c r="H120" s="6">
        <f t="shared" si="27"/>
        <v>38.08</v>
      </c>
      <c r="I120" s="213">
        <v>1.7</v>
      </c>
      <c r="J120" s="267">
        <f t="shared" si="17"/>
        <v>64.73599999999999</v>
      </c>
      <c r="K120" s="213"/>
      <c r="L120" s="140">
        <f t="shared" si="14"/>
        <v>0.4</v>
      </c>
      <c r="N120" s="236"/>
      <c r="O120" s="2">
        <v>2.9</v>
      </c>
      <c r="P120" s="2" t="s">
        <v>330</v>
      </c>
      <c r="T120" s="2" t="s">
        <v>318</v>
      </c>
      <c r="U120" s="140" t="s">
        <v>327</v>
      </c>
    </row>
    <row r="121" spans="1:21" ht="15.75" x14ac:dyDescent="0.25">
      <c r="A121" s="165"/>
      <c r="B121" s="166" t="s">
        <v>142</v>
      </c>
      <c r="C121" s="136"/>
      <c r="D121" s="136"/>
      <c r="E121" s="167"/>
      <c r="F121" s="136"/>
      <c r="G121" s="162"/>
      <c r="H121" s="136"/>
      <c r="I121" s="136"/>
      <c r="J121" s="136"/>
      <c r="K121" s="163"/>
      <c r="L121" s="50">
        <f t="shared" si="14"/>
        <v>0.4</v>
      </c>
    </row>
    <row r="122" spans="1:21" ht="12.75" customHeight="1" x14ac:dyDescent="0.2">
      <c r="A122" s="152">
        <v>100</v>
      </c>
      <c r="B122" s="163" t="s">
        <v>51</v>
      </c>
      <c r="C122" s="137">
        <v>79.099999999999994</v>
      </c>
      <c r="D122" s="137">
        <v>0.2</v>
      </c>
      <c r="E122" s="158" t="s">
        <v>4</v>
      </c>
      <c r="F122" s="158" t="s">
        <v>3</v>
      </c>
      <c r="G122" s="139">
        <v>12</v>
      </c>
      <c r="H122" s="137">
        <f t="shared" ref="H122:H131" si="29">C122*G122*(1-D122)</f>
        <v>759.36</v>
      </c>
      <c r="I122" s="138">
        <f t="shared" ref="I122:I125" si="30">IF(F122=L$14,L122,IF(M122=M$14,M122,"-"))</f>
        <v>0.4</v>
      </c>
      <c r="J122" s="161">
        <f t="shared" si="17"/>
        <v>303.74400000000003</v>
      </c>
      <c r="K122" s="137"/>
      <c r="L122" s="50">
        <f t="shared" si="14"/>
        <v>0.4</v>
      </c>
      <c r="T122" s="1" t="s">
        <v>317</v>
      </c>
      <c r="U122" s="50" t="s">
        <v>327</v>
      </c>
    </row>
    <row r="123" spans="1:21" ht="12.75" customHeight="1" x14ac:dyDescent="0.2">
      <c r="A123" s="152">
        <v>101</v>
      </c>
      <c r="B123" s="163" t="s">
        <v>203</v>
      </c>
      <c r="C123" s="137">
        <v>70</v>
      </c>
      <c r="D123" s="137">
        <v>0.3</v>
      </c>
      <c r="E123" s="158" t="s">
        <v>192</v>
      </c>
      <c r="F123" s="158" t="s">
        <v>3</v>
      </c>
      <c r="G123" s="139">
        <v>20</v>
      </c>
      <c r="H123" s="137">
        <f t="shared" si="29"/>
        <v>979.99999999999989</v>
      </c>
      <c r="I123" s="138">
        <f t="shared" si="30"/>
        <v>0.47899999999999998</v>
      </c>
      <c r="J123" s="161">
        <f t="shared" si="17"/>
        <v>469.4199999999999</v>
      </c>
      <c r="K123" s="137"/>
      <c r="L123" s="50">
        <f t="shared" si="14"/>
        <v>0.47899999999999998</v>
      </c>
      <c r="T123" s="1" t="s">
        <v>321</v>
      </c>
      <c r="U123" s="50" t="s">
        <v>327</v>
      </c>
    </row>
    <row r="124" spans="1:21" x14ac:dyDescent="0.2">
      <c r="A124" s="152">
        <v>102</v>
      </c>
      <c r="B124" s="163" t="s">
        <v>406</v>
      </c>
      <c r="C124" s="137">
        <v>12.5</v>
      </c>
      <c r="D124" s="137">
        <v>0.3</v>
      </c>
      <c r="E124" s="158" t="s">
        <v>11</v>
      </c>
      <c r="F124" s="158" t="s">
        <v>3</v>
      </c>
      <c r="G124" s="139">
        <v>20</v>
      </c>
      <c r="H124" s="137">
        <f t="shared" si="29"/>
        <v>175</v>
      </c>
      <c r="I124" s="138">
        <f t="shared" si="30"/>
        <v>0.47899999999999998</v>
      </c>
      <c r="J124" s="161">
        <f t="shared" si="17"/>
        <v>83.825000000000003</v>
      </c>
      <c r="K124" s="137"/>
      <c r="L124" s="50">
        <f t="shared" si="14"/>
        <v>0.47899999999999998</v>
      </c>
      <c r="T124" s="1" t="s">
        <v>321</v>
      </c>
      <c r="U124" s="50" t="s">
        <v>327</v>
      </c>
    </row>
    <row r="125" spans="1:21" x14ac:dyDescent="0.2">
      <c r="A125" s="152">
        <v>103</v>
      </c>
      <c r="B125" s="163" t="s">
        <v>52</v>
      </c>
      <c r="C125" s="137">
        <v>27.8</v>
      </c>
      <c r="D125" s="137">
        <v>0</v>
      </c>
      <c r="E125" s="158" t="s">
        <v>192</v>
      </c>
      <c r="F125" s="158" t="s">
        <v>3</v>
      </c>
      <c r="G125" s="139">
        <v>20</v>
      </c>
      <c r="H125" s="137">
        <f t="shared" si="29"/>
        <v>556</v>
      </c>
      <c r="I125" s="138">
        <f t="shared" si="30"/>
        <v>0.4</v>
      </c>
      <c r="J125" s="161">
        <f t="shared" si="17"/>
        <v>222.4</v>
      </c>
      <c r="K125" s="137"/>
      <c r="L125" s="50">
        <f t="shared" si="14"/>
        <v>0.4</v>
      </c>
      <c r="T125" s="1" t="s">
        <v>317</v>
      </c>
      <c r="U125" s="50" t="s">
        <v>327</v>
      </c>
    </row>
    <row r="126" spans="1:21" s="2" customFormat="1" x14ac:dyDescent="0.2">
      <c r="A126" s="152">
        <v>104</v>
      </c>
      <c r="B126" s="260" t="s">
        <v>71</v>
      </c>
      <c r="C126" s="6">
        <v>18</v>
      </c>
      <c r="D126" s="6">
        <v>0</v>
      </c>
      <c r="E126" s="248" t="s">
        <v>130</v>
      </c>
      <c r="F126" s="248" t="s">
        <v>3</v>
      </c>
      <c r="G126" s="215">
        <v>1</v>
      </c>
      <c r="H126" s="6">
        <f t="shared" si="29"/>
        <v>18</v>
      </c>
      <c r="I126" s="6">
        <v>1.7</v>
      </c>
      <c r="J126" s="261">
        <f t="shared" si="17"/>
        <v>30.599999999999998</v>
      </c>
      <c r="K126" s="6"/>
      <c r="L126" s="140">
        <f t="shared" si="14"/>
        <v>0.4</v>
      </c>
      <c r="N126" s="219"/>
      <c r="T126" s="2" t="s">
        <v>318</v>
      </c>
      <c r="U126" s="140" t="s">
        <v>327</v>
      </c>
    </row>
    <row r="127" spans="1:21" s="2" customFormat="1" x14ac:dyDescent="0.2">
      <c r="A127" s="152">
        <v>105</v>
      </c>
      <c r="B127" s="260" t="s">
        <v>72</v>
      </c>
      <c r="C127" s="6">
        <v>70</v>
      </c>
      <c r="D127" s="6">
        <v>0</v>
      </c>
      <c r="E127" s="248" t="s">
        <v>74</v>
      </c>
      <c r="F127" s="248" t="s">
        <v>3</v>
      </c>
      <c r="G127" s="215">
        <v>2</v>
      </c>
      <c r="H127" s="6">
        <f t="shared" si="29"/>
        <v>140</v>
      </c>
      <c r="I127" s="6">
        <v>1.7</v>
      </c>
      <c r="J127" s="261">
        <f t="shared" si="17"/>
        <v>238</v>
      </c>
      <c r="K127" s="6"/>
      <c r="L127" s="140">
        <f t="shared" si="14"/>
        <v>0.4</v>
      </c>
      <c r="N127" s="219"/>
      <c r="T127" s="2" t="s">
        <v>318</v>
      </c>
      <c r="U127" s="140" t="s">
        <v>327</v>
      </c>
    </row>
    <row r="128" spans="1:21" s="2" customFormat="1" x14ac:dyDescent="0.2">
      <c r="A128" s="152">
        <v>106</v>
      </c>
      <c r="B128" s="260" t="s">
        <v>143</v>
      </c>
      <c r="C128" s="6">
        <v>4.3</v>
      </c>
      <c r="D128" s="6">
        <v>0</v>
      </c>
      <c r="E128" s="248" t="s">
        <v>192</v>
      </c>
      <c r="F128" s="248" t="s">
        <v>3</v>
      </c>
      <c r="G128" s="215">
        <v>20</v>
      </c>
      <c r="H128" s="6">
        <f t="shared" si="29"/>
        <v>86</v>
      </c>
      <c r="I128" s="6">
        <v>1.1459999999999999</v>
      </c>
      <c r="J128" s="261">
        <f t="shared" si="17"/>
        <v>98.555999999999997</v>
      </c>
      <c r="K128" s="6">
        <f>J128</f>
        <v>98.555999999999997</v>
      </c>
      <c r="L128" s="140">
        <f t="shared" si="14"/>
        <v>0.4</v>
      </c>
      <c r="N128" s="219"/>
      <c r="T128" s="2" t="s">
        <v>329</v>
      </c>
      <c r="U128" s="140" t="s">
        <v>327</v>
      </c>
    </row>
    <row r="129" spans="1:21" s="2" customFormat="1" x14ac:dyDescent="0.2">
      <c r="A129" s="152">
        <v>107</v>
      </c>
      <c r="B129" s="260" t="s">
        <v>348</v>
      </c>
      <c r="C129" s="6">
        <f>(2.2*1.8)*4+(2.2*2.2)*3</f>
        <v>30.360000000000007</v>
      </c>
      <c r="D129" s="6">
        <v>0</v>
      </c>
      <c r="E129" s="248" t="s">
        <v>283</v>
      </c>
      <c r="F129" s="262" t="s">
        <v>3</v>
      </c>
      <c r="G129" s="215">
        <v>0.1</v>
      </c>
      <c r="H129" s="6">
        <f t="shared" si="29"/>
        <v>3.0360000000000009</v>
      </c>
      <c r="I129" s="6">
        <v>3.51</v>
      </c>
      <c r="J129" s="261">
        <f t="shared" si="17"/>
        <v>10.656360000000003</v>
      </c>
      <c r="K129" s="6"/>
      <c r="L129" s="140">
        <f t="shared" si="14"/>
        <v>0.4</v>
      </c>
      <c r="N129" s="219"/>
      <c r="T129" s="233" t="s">
        <v>326</v>
      </c>
      <c r="U129" s="2" t="s">
        <v>320</v>
      </c>
    </row>
    <row r="130" spans="1:21" s="2" customFormat="1" ht="13.5" customHeight="1" x14ac:dyDescent="0.2">
      <c r="A130" s="152">
        <v>108</v>
      </c>
      <c r="B130" s="260" t="s">
        <v>349</v>
      </c>
      <c r="C130" s="6">
        <f>(0.6*1.8)*4+(0.6*2.2)*3</f>
        <v>8.2800000000000011</v>
      </c>
      <c r="D130" s="6">
        <v>0</v>
      </c>
      <c r="E130" s="248" t="s">
        <v>283</v>
      </c>
      <c r="F130" s="262" t="s">
        <v>3</v>
      </c>
      <c r="G130" s="215">
        <v>1</v>
      </c>
      <c r="H130" s="6">
        <f t="shared" si="29"/>
        <v>8.2800000000000011</v>
      </c>
      <c r="I130" s="6">
        <v>1.1499999999999999</v>
      </c>
      <c r="J130" s="261">
        <f t="shared" si="17"/>
        <v>9.5220000000000002</v>
      </c>
      <c r="K130" s="6"/>
      <c r="L130" s="140">
        <f t="shared" si="14"/>
        <v>0.4</v>
      </c>
      <c r="N130" s="219"/>
      <c r="T130" s="233" t="s">
        <v>351</v>
      </c>
      <c r="U130" s="140" t="s">
        <v>327</v>
      </c>
    </row>
    <row r="131" spans="1:21" x14ac:dyDescent="0.2">
      <c r="A131" s="152">
        <v>109</v>
      </c>
      <c r="B131" s="163" t="s">
        <v>285</v>
      </c>
      <c r="C131" s="137">
        <v>50.5</v>
      </c>
      <c r="D131" s="137">
        <v>0.3</v>
      </c>
      <c r="E131" s="158" t="s">
        <v>4</v>
      </c>
      <c r="F131" s="158" t="s">
        <v>3</v>
      </c>
      <c r="G131" s="139">
        <v>8</v>
      </c>
      <c r="H131" s="137">
        <f t="shared" si="29"/>
        <v>282.79999999999995</v>
      </c>
      <c r="I131" s="138">
        <f>IF(F131=L$14,L131,IF(M131=M$14,M131,"-"))</f>
        <v>0.47899999999999998</v>
      </c>
      <c r="J131" s="161">
        <f t="shared" si="17"/>
        <v>135.46119999999996</v>
      </c>
      <c r="K131" s="137"/>
      <c r="L131" s="50">
        <f t="shared" si="14"/>
        <v>0.47899999999999998</v>
      </c>
      <c r="T131" s="1" t="s">
        <v>321</v>
      </c>
      <c r="U131" s="50" t="s">
        <v>327</v>
      </c>
    </row>
    <row r="132" spans="1:21" ht="15.75" x14ac:dyDescent="0.25">
      <c r="A132" s="165"/>
      <c r="B132" s="166" t="s">
        <v>271</v>
      </c>
      <c r="C132" s="136"/>
      <c r="D132" s="136"/>
      <c r="E132" s="167"/>
      <c r="F132" s="136"/>
      <c r="G132" s="162"/>
      <c r="H132" s="136"/>
      <c r="I132" s="136"/>
      <c r="J132" s="136"/>
      <c r="K132" s="163"/>
      <c r="L132" s="50">
        <f t="shared" si="14"/>
        <v>0.4</v>
      </c>
    </row>
    <row r="133" spans="1:21" x14ac:dyDescent="0.2">
      <c r="A133" s="152">
        <v>110</v>
      </c>
      <c r="B133" s="163" t="s">
        <v>272</v>
      </c>
      <c r="C133" s="137">
        <v>15</v>
      </c>
      <c r="D133" s="137">
        <v>0.2</v>
      </c>
      <c r="E133" s="159" t="s">
        <v>192</v>
      </c>
      <c r="F133" s="158" t="s">
        <v>3</v>
      </c>
      <c r="G133" s="139">
        <v>4</v>
      </c>
      <c r="H133" s="137">
        <f>C133*G133*(1-D133)</f>
        <v>48</v>
      </c>
      <c r="I133" s="138">
        <f t="shared" ref="I133:I136" si="31">IF(F133=L$14,L133,IF(M133=M$14,M133,"-"))</f>
        <v>0.4</v>
      </c>
      <c r="J133" s="161">
        <f t="shared" si="17"/>
        <v>19.200000000000003</v>
      </c>
      <c r="K133" s="137"/>
      <c r="L133" s="50">
        <f t="shared" si="14"/>
        <v>0.4</v>
      </c>
      <c r="T133" s="1" t="s">
        <v>317</v>
      </c>
      <c r="U133" s="50" t="s">
        <v>327</v>
      </c>
    </row>
    <row r="134" spans="1:21" x14ac:dyDescent="0.2">
      <c r="A134" s="279">
        <v>111</v>
      </c>
      <c r="B134" s="280" t="s">
        <v>380</v>
      </c>
      <c r="C134" s="272">
        <v>14</v>
      </c>
      <c r="D134" s="272">
        <v>0.2</v>
      </c>
      <c r="E134" s="274"/>
      <c r="F134" s="273" t="s">
        <v>3</v>
      </c>
      <c r="G134" s="275">
        <v>4</v>
      </c>
      <c r="H134" s="272">
        <f t="shared" ref="H134:H135" si="32">C134*G134*(1-D134)</f>
        <v>44.800000000000004</v>
      </c>
      <c r="I134" s="276">
        <f t="shared" si="31"/>
        <v>0.4</v>
      </c>
      <c r="J134" s="281">
        <f t="shared" si="17"/>
        <v>17.920000000000002</v>
      </c>
      <c r="K134" s="272"/>
      <c r="L134" s="50">
        <f t="shared" si="14"/>
        <v>0.4</v>
      </c>
      <c r="U134" s="50"/>
    </row>
    <row r="135" spans="1:21" x14ac:dyDescent="0.2">
      <c r="A135" s="279">
        <v>112</v>
      </c>
      <c r="B135" s="280" t="s">
        <v>381</v>
      </c>
      <c r="C135" s="272">
        <v>14.3</v>
      </c>
      <c r="D135" s="272">
        <v>0.2</v>
      </c>
      <c r="E135" s="274"/>
      <c r="F135" s="273" t="s">
        <v>3</v>
      </c>
      <c r="G135" s="275">
        <v>4</v>
      </c>
      <c r="H135" s="272">
        <f t="shared" si="32"/>
        <v>45.760000000000005</v>
      </c>
      <c r="I135" s="276">
        <f t="shared" si="31"/>
        <v>0.4</v>
      </c>
      <c r="J135" s="281">
        <f t="shared" si="17"/>
        <v>18.304000000000002</v>
      </c>
      <c r="K135" s="272"/>
      <c r="L135" s="50">
        <f t="shared" si="14"/>
        <v>0.4</v>
      </c>
      <c r="U135" s="50"/>
    </row>
    <row r="136" spans="1:21" x14ac:dyDescent="0.2">
      <c r="A136" s="279">
        <v>113</v>
      </c>
      <c r="B136" s="280" t="s">
        <v>382</v>
      </c>
      <c r="C136" s="272">
        <v>9.24</v>
      </c>
      <c r="D136" s="272">
        <v>0.2</v>
      </c>
      <c r="E136" s="274" t="s">
        <v>192</v>
      </c>
      <c r="F136" s="273" t="s">
        <v>3</v>
      </c>
      <c r="G136" s="275">
        <v>4</v>
      </c>
      <c r="H136" s="272">
        <f>C136*G136*(1-D136)</f>
        <v>29.568000000000001</v>
      </c>
      <c r="I136" s="276">
        <f t="shared" si="31"/>
        <v>0.4</v>
      </c>
      <c r="J136" s="281">
        <f t="shared" si="17"/>
        <v>11.827200000000001</v>
      </c>
      <c r="K136" s="272"/>
      <c r="L136" s="50">
        <f t="shared" si="14"/>
        <v>0.4</v>
      </c>
      <c r="U136" s="50"/>
    </row>
    <row r="137" spans="1:21" ht="15.75" x14ac:dyDescent="0.25">
      <c r="A137" s="282"/>
      <c r="B137" s="282" t="s">
        <v>383</v>
      </c>
      <c r="C137" s="282"/>
      <c r="D137" s="282"/>
      <c r="E137" s="282"/>
      <c r="F137" s="282"/>
      <c r="G137" s="282"/>
      <c r="H137" s="282"/>
      <c r="I137" s="282"/>
      <c r="J137" s="282"/>
      <c r="K137" s="282"/>
      <c r="L137" s="50"/>
      <c r="U137" s="50"/>
    </row>
    <row r="138" spans="1:21" x14ac:dyDescent="0.2">
      <c r="A138" s="279">
        <v>114</v>
      </c>
      <c r="B138" s="280" t="s">
        <v>384</v>
      </c>
      <c r="C138" s="272">
        <v>156.19999999999999</v>
      </c>
      <c r="D138" s="272">
        <v>0.2</v>
      </c>
      <c r="E138" s="273" t="s">
        <v>192</v>
      </c>
      <c r="F138" s="273" t="s">
        <v>3</v>
      </c>
      <c r="G138" s="275">
        <v>4</v>
      </c>
      <c r="H138" s="272">
        <f t="shared" ref="H138" si="33">C138*G138*(1-D138)</f>
        <v>499.84</v>
      </c>
      <c r="I138" s="276">
        <f>IF(F138=L$14,L138,IF(M138=M$14,M138,"-"))</f>
        <v>0.4</v>
      </c>
      <c r="J138" s="281">
        <f t="shared" ref="J138" si="34">H138*I138</f>
        <v>199.93600000000001</v>
      </c>
      <c r="K138" s="272"/>
      <c r="L138" s="50">
        <f t="shared" si="14"/>
        <v>0.4</v>
      </c>
      <c r="U138" s="50"/>
    </row>
    <row r="139" spans="1:21" ht="13.5" thickBot="1" x14ac:dyDescent="0.25">
      <c r="A139" s="56"/>
      <c r="B139" s="55" t="s">
        <v>137</v>
      </c>
      <c r="C139" s="12">
        <f>SUM(C16:C133)</f>
        <v>3524.5975000000012</v>
      </c>
      <c r="D139" s="12"/>
      <c r="E139" s="9"/>
      <c r="F139" s="9"/>
      <c r="G139" s="9"/>
      <c r="H139" s="9"/>
      <c r="I139" s="9"/>
      <c r="J139" s="43">
        <f>SUM(J16:J133)</f>
        <v>15176.032766500008</v>
      </c>
      <c r="K139" s="238">
        <f>SUM(K16:K133)</f>
        <v>5516.7792800000007</v>
      </c>
    </row>
    <row r="140" spans="1:21" ht="14.25" x14ac:dyDescent="0.2">
      <c r="A140" s="70"/>
      <c r="B140" s="71" t="s">
        <v>82</v>
      </c>
      <c r="C140" s="71"/>
      <c r="D140" s="71"/>
      <c r="E140" s="71"/>
      <c r="F140" s="72"/>
      <c r="G140" s="73"/>
      <c r="H140" s="73"/>
      <c r="I140" s="84">
        <f>J139*6.5/100</f>
        <v>986.44212982250053</v>
      </c>
      <c r="J140" s="81">
        <f>J139*0.065</f>
        <v>986.44212982250053</v>
      </c>
      <c r="K140" s="79">
        <f>K139*6.5/100</f>
        <v>358.59065320000002</v>
      </c>
    </row>
    <row r="141" spans="1:21" ht="14.25" x14ac:dyDescent="0.2">
      <c r="A141" s="74"/>
      <c r="B141" s="75" t="s">
        <v>83</v>
      </c>
      <c r="C141" s="75"/>
      <c r="D141" s="75"/>
      <c r="E141" s="75"/>
      <c r="F141" s="76"/>
      <c r="G141" s="77"/>
      <c r="H141" s="78"/>
      <c r="I141" s="85">
        <f>J139*5/100</f>
        <v>758.80163832500034</v>
      </c>
      <c r="J141" s="82">
        <f>J139*0.05</f>
        <v>758.80163832500045</v>
      </c>
      <c r="K141" s="80">
        <f>K139*5/100</f>
        <v>275.83896400000003</v>
      </c>
    </row>
    <row r="142" spans="1:21" ht="15" thickBot="1" x14ac:dyDescent="0.25">
      <c r="A142" s="65"/>
      <c r="B142" s="66" t="s">
        <v>177</v>
      </c>
      <c r="C142" s="66"/>
      <c r="D142" s="66"/>
      <c r="E142" s="66"/>
      <c r="F142" s="67"/>
      <c r="G142" s="68"/>
      <c r="H142" s="69"/>
      <c r="I142" s="86">
        <f>J139+I140+I141</f>
        <v>16921.27653464751</v>
      </c>
      <c r="J142" s="83">
        <f>SUM(J139:J141)</f>
        <v>16921.27653464751</v>
      </c>
      <c r="K142" s="237">
        <f>SUM(K139:K141)</f>
        <v>6151.2088972000001</v>
      </c>
      <c r="M142" s="172">
        <f>J142-K142</f>
        <v>10770.06763744751</v>
      </c>
    </row>
    <row r="143" spans="1:21" ht="14.25" x14ac:dyDescent="0.2">
      <c r="B143" s="13"/>
      <c r="C143" s="13"/>
      <c r="D143" s="13"/>
      <c r="E143" s="13"/>
      <c r="F143" s="14"/>
      <c r="H143" s="2"/>
      <c r="I143" s="2"/>
      <c r="J143" s="2"/>
    </row>
    <row r="144" spans="1:21" ht="14.25" hidden="1" x14ac:dyDescent="0.2">
      <c r="B144" s="13"/>
      <c r="C144" s="13"/>
      <c r="D144" s="13"/>
      <c r="E144" s="13"/>
      <c r="F144" s="14"/>
      <c r="H144" s="2"/>
      <c r="I144" s="2"/>
      <c r="J144" s="2"/>
    </row>
    <row r="145" spans="2:13" ht="14.25" hidden="1" x14ac:dyDescent="0.2">
      <c r="B145" s="13" t="s">
        <v>116</v>
      </c>
      <c r="C145" s="13"/>
      <c r="D145" s="13"/>
      <c r="E145" s="13"/>
      <c r="F145" s="14"/>
      <c r="H145" s="2"/>
      <c r="I145" s="2"/>
      <c r="J145" s="2"/>
    </row>
    <row r="146" spans="2:13" ht="14.25" hidden="1" x14ac:dyDescent="0.2">
      <c r="B146" s="13"/>
      <c r="C146" s="13"/>
      <c r="D146" s="13"/>
      <c r="E146" s="13"/>
      <c r="F146" s="14"/>
      <c r="H146" s="2"/>
      <c r="I146" s="2"/>
      <c r="J146" s="2"/>
    </row>
    <row r="147" spans="2:13" ht="15" x14ac:dyDescent="0.25">
      <c r="B147" s="2"/>
      <c r="C147" s="49" t="s">
        <v>212</v>
      </c>
      <c r="D147" s="49"/>
      <c r="E147" s="49"/>
      <c r="F147" s="49"/>
      <c r="G147" s="49"/>
      <c r="H147" s="49"/>
      <c r="I147" s="49"/>
      <c r="J147" s="49" t="s">
        <v>187</v>
      </c>
      <c r="K147" s="2"/>
      <c r="M147" s="172"/>
    </row>
    <row r="148" spans="2:13" ht="15" x14ac:dyDescent="0.25">
      <c r="B148" s="2"/>
      <c r="C148" s="49"/>
      <c r="D148" s="49"/>
      <c r="E148" s="49"/>
      <c r="F148" s="49"/>
      <c r="G148" s="49"/>
      <c r="H148" s="49"/>
      <c r="I148" s="49"/>
      <c r="J148" s="49"/>
      <c r="K148" s="2"/>
    </row>
    <row r="149" spans="2:13" ht="15" x14ac:dyDescent="0.25">
      <c r="B149" s="2"/>
      <c r="C149" s="49" t="s">
        <v>400</v>
      </c>
      <c r="D149" s="49"/>
      <c r="E149" s="49"/>
      <c r="F149" s="49"/>
      <c r="G149" s="49"/>
      <c r="H149" s="49"/>
      <c r="I149" s="49"/>
      <c r="J149" s="49" t="s">
        <v>191</v>
      </c>
      <c r="K149" s="2"/>
    </row>
    <row r="150" spans="2:13" ht="15" x14ac:dyDescent="0.25">
      <c r="C150" s="49"/>
      <c r="D150" s="49"/>
      <c r="E150" s="49"/>
      <c r="F150" s="49"/>
      <c r="G150" s="49"/>
      <c r="H150" s="49"/>
      <c r="I150" s="49"/>
      <c r="J150" s="49"/>
    </row>
    <row r="151" spans="2:13" ht="15" x14ac:dyDescent="0.25">
      <c r="C151" s="49" t="s">
        <v>401</v>
      </c>
      <c r="D151" s="49"/>
      <c r="E151" s="49"/>
      <c r="F151" s="49"/>
      <c r="G151" s="49"/>
      <c r="H151" s="49"/>
      <c r="I151" s="49"/>
      <c r="J151" s="49" t="s">
        <v>402</v>
      </c>
    </row>
    <row r="152" spans="2:13" ht="15" x14ac:dyDescent="0.25">
      <c r="C152" s="49"/>
      <c r="D152" s="49"/>
      <c r="E152" s="49"/>
      <c r="F152" s="49"/>
      <c r="G152" s="49"/>
      <c r="H152" s="49"/>
      <c r="I152" s="49"/>
      <c r="J152" s="49"/>
    </row>
    <row r="153" spans="2:13" ht="15" x14ac:dyDescent="0.25">
      <c r="C153" s="49" t="s">
        <v>389</v>
      </c>
      <c r="D153" s="49"/>
      <c r="E153" s="49"/>
      <c r="F153" s="49"/>
      <c r="G153" s="49"/>
      <c r="H153" s="49"/>
      <c r="I153" s="49"/>
      <c r="J153" s="49" t="s">
        <v>278</v>
      </c>
    </row>
    <row r="154" spans="2:13" x14ac:dyDescent="0.2">
      <c r="H154"/>
      <c r="I154"/>
      <c r="J154"/>
    </row>
    <row r="155" spans="2:13" ht="15" x14ac:dyDescent="0.25">
      <c r="C155" s="49" t="s">
        <v>390</v>
      </c>
      <c r="D155" s="49"/>
      <c r="E155" s="49"/>
      <c r="F155" s="49"/>
      <c r="G155" s="49"/>
      <c r="H155" s="49"/>
      <c r="I155" s="49"/>
      <c r="J155" s="49" t="s">
        <v>393</v>
      </c>
    </row>
    <row r="156" spans="2:13" x14ac:dyDescent="0.2">
      <c r="H156"/>
      <c r="I156"/>
      <c r="J156"/>
    </row>
    <row r="157" spans="2:13" ht="15" x14ac:dyDescent="0.25">
      <c r="C157" s="49" t="s">
        <v>391</v>
      </c>
      <c r="D157" s="49"/>
      <c r="E157" s="49"/>
      <c r="F157" s="49"/>
      <c r="G157" s="49"/>
      <c r="H157" s="49"/>
      <c r="I157" s="49"/>
      <c r="J157" s="49" t="s">
        <v>394</v>
      </c>
    </row>
    <row r="158" spans="2:13" x14ac:dyDescent="0.2">
      <c r="H158"/>
      <c r="I158"/>
      <c r="J158"/>
    </row>
    <row r="159" spans="2:13" ht="15" x14ac:dyDescent="0.25">
      <c r="C159" s="49" t="s">
        <v>392</v>
      </c>
      <c r="D159" s="49"/>
      <c r="E159" s="49"/>
      <c r="F159" s="49"/>
      <c r="G159" s="49"/>
      <c r="H159" s="49"/>
      <c r="I159" s="49"/>
      <c r="J159" s="49" t="s">
        <v>395</v>
      </c>
    </row>
    <row r="160" spans="2:13" x14ac:dyDescent="0.2">
      <c r="H160"/>
      <c r="I160"/>
      <c r="J160"/>
    </row>
    <row r="161" spans="3:10" ht="15" x14ac:dyDescent="0.25">
      <c r="C161" s="1" t="s">
        <v>396</v>
      </c>
      <c r="H161"/>
      <c r="I161" s="49"/>
      <c r="J161" s="49" t="s">
        <v>397</v>
      </c>
    </row>
    <row r="162" spans="3:10" x14ac:dyDescent="0.2">
      <c r="H162"/>
      <c r="I162"/>
      <c r="J162"/>
    </row>
    <row r="163" spans="3:10" ht="15" x14ac:dyDescent="0.25">
      <c r="C163" s="1" t="s">
        <v>398</v>
      </c>
      <c r="H163"/>
      <c r="I163" s="49"/>
      <c r="J163" s="49" t="s">
        <v>399</v>
      </c>
    </row>
    <row r="164" spans="3:10" x14ac:dyDescent="0.2">
      <c r="H164" s="2"/>
      <c r="I164" s="2"/>
      <c r="J164" s="2"/>
    </row>
    <row r="165" spans="3:10" x14ac:dyDescent="0.2">
      <c r="H165" s="2"/>
      <c r="I165" s="2"/>
      <c r="J165" s="2"/>
    </row>
    <row r="166" spans="3:10" x14ac:dyDescent="0.2">
      <c r="H166" s="2"/>
      <c r="I166" s="2"/>
      <c r="J166" s="2"/>
    </row>
    <row r="167" spans="3:10" x14ac:dyDescent="0.2">
      <c r="H167" s="2"/>
      <c r="I167" s="2"/>
      <c r="J167" s="2"/>
    </row>
    <row r="168" spans="3:10" x14ac:dyDescent="0.2">
      <c r="H168" s="2"/>
      <c r="I168" s="2"/>
      <c r="J168" s="2"/>
    </row>
    <row r="169" spans="3:10" x14ac:dyDescent="0.2">
      <c r="H169" s="2"/>
      <c r="I169" s="2"/>
      <c r="J169" s="2"/>
    </row>
    <row r="170" spans="3:10" x14ac:dyDescent="0.2">
      <c r="H170" s="2"/>
      <c r="I170" s="2"/>
      <c r="J170" s="2"/>
    </row>
  </sheetData>
  <mergeCells count="19">
    <mergeCell ref="A1:K1"/>
    <mergeCell ref="A9:K9"/>
    <mergeCell ref="A10:K10"/>
    <mergeCell ref="G2:H2"/>
    <mergeCell ref="G4:J4"/>
    <mergeCell ref="G5:J5"/>
    <mergeCell ref="I12:I13"/>
    <mergeCell ref="J12:J13"/>
    <mergeCell ref="G3:K3"/>
    <mergeCell ref="A11:A13"/>
    <mergeCell ref="B11:B13"/>
    <mergeCell ref="C11:C13"/>
    <mergeCell ref="K12:K13"/>
    <mergeCell ref="F11:F13"/>
    <mergeCell ref="E11:E13"/>
    <mergeCell ref="I11:K11"/>
    <mergeCell ref="H11:H13"/>
    <mergeCell ref="G11:G13"/>
    <mergeCell ref="D11:D13"/>
  </mergeCells>
  <phoneticPr fontId="0" type="noConversion"/>
  <pageMargins left="0.51181102362204722" right="0" top="0.44" bottom="0.48" header="0.31496062992125984" footer="0.24"/>
  <pageSetup paperSize="9" scale="78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3"/>
  <sheetViews>
    <sheetView view="pageBreakPreview" zoomScaleNormal="100" zoomScaleSheetLayoutView="100" workbookViewId="0">
      <selection activeCell="F14" sqref="F14"/>
    </sheetView>
  </sheetViews>
  <sheetFormatPr defaultRowHeight="12.75" x14ac:dyDescent="0.2"/>
  <cols>
    <col min="1" max="1" width="7.140625" customWidth="1"/>
    <col min="2" max="2" width="13.140625" customWidth="1"/>
    <col min="3" max="3" width="12" bestFit="1" customWidth="1"/>
    <col min="5" max="5" width="9.7109375" customWidth="1"/>
    <col min="6" max="6" width="13" customWidth="1"/>
    <col min="7" max="7" width="16.140625" customWidth="1"/>
    <col min="8" max="8" width="3" customWidth="1"/>
  </cols>
  <sheetData>
    <row r="1" spans="1:10" ht="27.75" customHeight="1" x14ac:dyDescent="0.2">
      <c r="A1" s="320" t="s">
        <v>184</v>
      </c>
      <c r="B1" s="320"/>
      <c r="C1" s="320"/>
      <c r="D1" s="320"/>
      <c r="E1" s="320"/>
      <c r="F1" s="320"/>
      <c r="G1" s="320"/>
    </row>
    <row r="3" spans="1:10" ht="15" x14ac:dyDescent="0.25">
      <c r="A3" s="1" t="s">
        <v>123</v>
      </c>
      <c r="E3" s="150" t="s">
        <v>102</v>
      </c>
      <c r="F3" s="150"/>
      <c r="G3" s="148"/>
    </row>
    <row r="4" spans="1:10" ht="29.25" customHeight="1" x14ac:dyDescent="0.25">
      <c r="A4" s="1"/>
      <c r="E4" s="319" t="s">
        <v>219</v>
      </c>
      <c r="F4" s="319"/>
      <c r="G4" s="319"/>
    </row>
    <row r="5" spans="1:10" ht="22.5" customHeight="1" x14ac:dyDescent="0.25">
      <c r="A5" s="1" t="s">
        <v>189</v>
      </c>
      <c r="E5" s="150" t="s">
        <v>372</v>
      </c>
      <c r="F5" s="150"/>
      <c r="G5" s="148"/>
    </row>
    <row r="6" spans="1:10" ht="15" x14ac:dyDescent="0.25">
      <c r="E6" s="45"/>
      <c r="F6" s="46"/>
    </row>
    <row r="7" spans="1:10" ht="15" x14ac:dyDescent="0.2">
      <c r="A7" s="47" t="s">
        <v>287</v>
      </c>
      <c r="B7" s="47"/>
      <c r="E7" s="47" t="s">
        <v>375</v>
      </c>
      <c r="F7" s="47"/>
    </row>
    <row r="8" spans="1:10" ht="53.25" customHeight="1" x14ac:dyDescent="0.25">
      <c r="A8" s="323" t="s">
        <v>376</v>
      </c>
      <c r="B8" s="323"/>
      <c r="C8" s="323"/>
      <c r="D8" s="323"/>
      <c r="E8" s="323"/>
      <c r="F8" s="323"/>
      <c r="G8" s="323"/>
      <c r="H8" s="42"/>
      <c r="I8" s="18"/>
    </row>
    <row r="9" spans="1:10" ht="15.75" thickBot="1" x14ac:dyDescent="0.3">
      <c r="A9" s="18"/>
      <c r="B9" s="18"/>
      <c r="C9" s="18"/>
      <c r="D9" s="18"/>
      <c r="E9" s="18"/>
      <c r="F9" s="18"/>
      <c r="G9" s="18"/>
      <c r="H9" s="19"/>
      <c r="I9" s="18"/>
    </row>
    <row r="10" spans="1:10" ht="12.75" customHeight="1" x14ac:dyDescent="0.2">
      <c r="A10" s="326" t="s">
        <v>84</v>
      </c>
      <c r="B10" s="321" t="s">
        <v>103</v>
      </c>
      <c r="C10" s="321" t="s">
        <v>85</v>
      </c>
      <c r="D10" s="321" t="s">
        <v>86</v>
      </c>
      <c r="E10" s="321" t="s">
        <v>87</v>
      </c>
      <c r="F10" s="321" t="s">
        <v>104</v>
      </c>
      <c r="G10" s="324" t="s">
        <v>88</v>
      </c>
      <c r="H10" s="20"/>
    </row>
    <row r="11" spans="1:10" ht="55.5" customHeight="1" x14ac:dyDescent="0.25">
      <c r="A11" s="327"/>
      <c r="B11" s="322"/>
      <c r="C11" s="322"/>
      <c r="D11" s="322"/>
      <c r="E11" s="322"/>
      <c r="F11" s="322"/>
      <c r="G11" s="325"/>
      <c r="H11" s="18"/>
    </row>
    <row r="12" spans="1:10" x14ac:dyDescent="0.2">
      <c r="A12" s="21">
        <v>1</v>
      </c>
      <c r="B12" s="22">
        <v>2</v>
      </c>
      <c r="C12" s="22">
        <v>4</v>
      </c>
      <c r="D12" s="22">
        <v>5</v>
      </c>
      <c r="E12" s="22">
        <v>6</v>
      </c>
      <c r="F12" s="22">
        <v>7</v>
      </c>
      <c r="G12" s="23">
        <v>8</v>
      </c>
      <c r="H12" s="24"/>
    </row>
    <row r="13" spans="1:10" ht="15" x14ac:dyDescent="0.25">
      <c r="A13" s="25"/>
      <c r="B13" s="26"/>
      <c r="C13" s="26"/>
      <c r="D13" s="26"/>
      <c r="E13" s="26"/>
      <c r="F13" s="26"/>
      <c r="G13" s="27"/>
      <c r="H13" s="18"/>
    </row>
    <row r="14" spans="1:10" ht="15" x14ac:dyDescent="0.25">
      <c r="A14" s="108">
        <v>1</v>
      </c>
      <c r="B14" s="19">
        <f>'Приложение №2. ВОР бытов.'!I142-'Приложение №2. ВОР бытов.'!K142</f>
        <v>10770.06763744751</v>
      </c>
      <c r="C14" s="28">
        <f>B14/60/164.3</f>
        <v>1.0925205556347646</v>
      </c>
      <c r="D14" s="26">
        <v>1</v>
      </c>
      <c r="E14" s="175">
        <v>6509</v>
      </c>
      <c r="F14" s="28">
        <f>C14*1.12</f>
        <v>1.2236230223109363</v>
      </c>
      <c r="G14" s="27">
        <f>E14*F14</f>
        <v>7964.5622522218846</v>
      </c>
      <c r="H14" s="18"/>
      <c r="J14">
        <v>164.3</v>
      </c>
    </row>
    <row r="15" spans="1:10" ht="15" x14ac:dyDescent="0.25">
      <c r="A15" s="108"/>
      <c r="B15" s="51"/>
      <c r="C15" s="26"/>
      <c r="D15" s="26"/>
      <c r="E15" s="175"/>
      <c r="F15" s="26"/>
      <c r="G15" s="27"/>
      <c r="H15" s="18"/>
    </row>
    <row r="16" spans="1:10" ht="15" x14ac:dyDescent="0.25">
      <c r="A16" s="108">
        <v>2</v>
      </c>
      <c r="B16" s="51">
        <f>'Приложение №1. ВОР произв.'!J146+'Приложение №2. ВОР бытов.'!K142</f>
        <v>60983.672759109977</v>
      </c>
      <c r="C16" s="28">
        <f>B16/60/164.3</f>
        <v>6.1862114789115408</v>
      </c>
      <c r="D16" s="26">
        <v>2</v>
      </c>
      <c r="E16" s="175">
        <v>7265</v>
      </c>
      <c r="F16" s="28">
        <f>C16*1.12</f>
        <v>6.9285568563809266</v>
      </c>
      <c r="G16" s="27">
        <f>E16*F16</f>
        <v>50335.965561607431</v>
      </c>
      <c r="H16" s="18"/>
    </row>
    <row r="17" spans="1:15" ht="15.75" thickBot="1" x14ac:dyDescent="0.3">
      <c r="A17" s="29"/>
      <c r="B17" s="52"/>
      <c r="C17" s="30"/>
      <c r="D17" s="30"/>
      <c r="E17" s="30"/>
      <c r="F17" s="30"/>
      <c r="G17" s="31"/>
      <c r="H17" s="18"/>
    </row>
    <row r="18" spans="1:15" ht="16.5" thickBot="1" x14ac:dyDescent="0.3">
      <c r="A18" s="32"/>
      <c r="B18" s="53">
        <f>B14+B16</f>
        <v>71753.740396557492</v>
      </c>
      <c r="C18" s="39">
        <f>C14+C16</f>
        <v>7.2787320345463051</v>
      </c>
      <c r="D18" s="34"/>
      <c r="E18" s="34"/>
      <c r="F18" s="33">
        <f>F14+F16</f>
        <v>8.1521798786918627</v>
      </c>
      <c r="G18" s="35"/>
      <c r="H18" s="18"/>
    </row>
    <row r="19" spans="1:15" ht="15.75" thickBot="1" x14ac:dyDescent="0.3">
      <c r="A19" s="36"/>
      <c r="B19" s="37"/>
      <c r="C19" s="37"/>
      <c r="D19" s="37"/>
      <c r="E19" s="37"/>
      <c r="F19" s="37"/>
      <c r="G19" s="38"/>
      <c r="H19" s="18"/>
    </row>
    <row r="20" spans="1:15" ht="15.75" thickBot="1" x14ac:dyDescent="0.3">
      <c r="A20" s="141"/>
      <c r="B20" s="142" t="s">
        <v>89</v>
      </c>
      <c r="C20" s="142"/>
      <c r="D20" s="142"/>
      <c r="E20" s="142"/>
      <c r="F20" s="142"/>
      <c r="G20" s="143">
        <f>SUM(G14:G16)</f>
        <v>58300.527813829314</v>
      </c>
      <c r="H20" s="18"/>
    </row>
    <row r="21" spans="1:15" ht="6" customHeight="1" thickBot="1" x14ac:dyDescent="0.3">
      <c r="A21" s="144"/>
      <c r="B21" s="145"/>
      <c r="C21" s="145"/>
      <c r="D21" s="145"/>
      <c r="E21" s="145"/>
      <c r="F21" s="145"/>
      <c r="G21" s="146"/>
      <c r="H21" s="18"/>
    </row>
    <row r="22" spans="1:15" ht="15.75" thickBot="1" x14ac:dyDescent="0.3">
      <c r="A22" s="141"/>
      <c r="B22" s="142" t="s">
        <v>377</v>
      </c>
      <c r="C22" s="142"/>
      <c r="D22" s="142"/>
      <c r="E22" s="142"/>
      <c r="F22" s="142"/>
      <c r="G22" s="143">
        <f>SUM(G20*36)</f>
        <v>2098819.0012978553</v>
      </c>
      <c r="H22" s="18"/>
      <c r="K22" s="48" t="s">
        <v>331</v>
      </c>
      <c r="O22" s="48" t="s">
        <v>333</v>
      </c>
    </row>
    <row r="23" spans="1:15" ht="15" x14ac:dyDescent="0.25">
      <c r="A23" s="18"/>
      <c r="B23" s="18"/>
      <c r="C23" s="18"/>
      <c r="D23" s="18"/>
      <c r="E23" s="18"/>
      <c r="F23" s="18"/>
      <c r="G23" s="18"/>
      <c r="H23" s="19"/>
      <c r="I23" s="18"/>
      <c r="K23" s="48" t="s">
        <v>332</v>
      </c>
    </row>
    <row r="24" spans="1:15" ht="15" x14ac:dyDescent="0.25">
      <c r="A24" s="147"/>
      <c r="B24" s="18"/>
      <c r="C24" s="18"/>
      <c r="D24" s="18"/>
      <c r="E24" s="18"/>
      <c r="F24" s="18"/>
      <c r="G24" s="18"/>
      <c r="H24" s="19"/>
      <c r="I24" s="18"/>
    </row>
    <row r="25" spans="1:15" s="148" customFormat="1" ht="15" x14ac:dyDescent="0.25">
      <c r="A25" s="147"/>
      <c r="C25" s="147"/>
      <c r="D25" s="147"/>
      <c r="E25" s="147"/>
      <c r="F25" s="147"/>
      <c r="G25" s="147"/>
      <c r="H25" s="239"/>
      <c r="I25" s="147"/>
    </row>
    <row r="26" spans="1:15" s="148" customFormat="1" ht="15" x14ac:dyDescent="0.25">
      <c r="A26" s="147" t="s">
        <v>181</v>
      </c>
      <c r="B26" s="147"/>
      <c r="F26" s="147"/>
      <c r="G26" s="147" t="s">
        <v>291</v>
      </c>
      <c r="H26" s="147"/>
    </row>
    <row r="27" spans="1:15" s="148" customFormat="1" x14ac:dyDescent="0.2"/>
    <row r="28" spans="1:15" s="148" customFormat="1" ht="15" x14ac:dyDescent="0.25">
      <c r="A28" s="147" t="s">
        <v>212</v>
      </c>
      <c r="F28" s="147"/>
      <c r="G28" s="147" t="s">
        <v>187</v>
      </c>
    </row>
    <row r="29" spans="1:15" s="148" customFormat="1" x14ac:dyDescent="0.2"/>
    <row r="30" spans="1:15" s="148" customFormat="1" ht="15" x14ac:dyDescent="0.25">
      <c r="A30" s="147" t="s">
        <v>117</v>
      </c>
      <c r="F30" s="147"/>
      <c r="G30" s="147" t="s">
        <v>191</v>
      </c>
    </row>
    <row r="31" spans="1:15" ht="15" x14ac:dyDescent="0.25">
      <c r="A31" s="155"/>
    </row>
    <row r="32" spans="1:15" ht="15" x14ac:dyDescent="0.25">
      <c r="A32" s="147" t="s">
        <v>117</v>
      </c>
      <c r="G32" s="147" t="s">
        <v>370</v>
      </c>
    </row>
    <row r="33" spans="1:1" ht="15" x14ac:dyDescent="0.25">
      <c r="A33" s="147" t="s">
        <v>369</v>
      </c>
    </row>
  </sheetData>
  <mergeCells count="10">
    <mergeCell ref="E4:G4"/>
    <mergeCell ref="A1:G1"/>
    <mergeCell ref="C10:C11"/>
    <mergeCell ref="D10:D11"/>
    <mergeCell ref="A8:G8"/>
    <mergeCell ref="E10:E11"/>
    <mergeCell ref="F10:F11"/>
    <mergeCell ref="G10:G11"/>
    <mergeCell ref="A10:A11"/>
    <mergeCell ref="B10:B11"/>
  </mergeCells>
  <phoneticPr fontId="2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6"/>
  <sheetViews>
    <sheetView view="pageBreakPreview" zoomScaleNormal="100" zoomScaleSheetLayoutView="100" workbookViewId="0">
      <selection activeCell="F14" sqref="F14"/>
    </sheetView>
  </sheetViews>
  <sheetFormatPr defaultRowHeight="12.75" x14ac:dyDescent="0.2"/>
  <cols>
    <col min="1" max="1" width="7.140625" style="1" customWidth="1"/>
    <col min="2" max="2" width="52.28515625" style="1" customWidth="1"/>
    <col min="3" max="3" width="19.7109375" style="1" customWidth="1"/>
    <col min="4" max="4" width="20.42578125" style="1" customWidth="1"/>
    <col min="5" max="5" width="9.140625" style="1"/>
    <col min="6" max="6" width="13.140625" style="1" bestFit="1" customWidth="1"/>
    <col min="7" max="7" width="9.140625" style="1"/>
    <col min="8" max="8" width="12.5703125" style="1" bestFit="1" customWidth="1"/>
    <col min="9" max="9" width="16.42578125" style="1" customWidth="1"/>
    <col min="10" max="16384" width="9.140625" style="1"/>
  </cols>
  <sheetData>
    <row r="1" spans="1:4" x14ac:dyDescent="0.2">
      <c r="A1" s="328" t="s">
        <v>292</v>
      </c>
      <c r="B1" s="328"/>
      <c r="C1" s="328"/>
      <c r="D1" s="328"/>
    </row>
    <row r="3" spans="1:4" x14ac:dyDescent="0.2">
      <c r="C3" s="2"/>
      <c r="D3" s="2"/>
    </row>
    <row r="4" spans="1:4" s="44" customFormat="1" ht="15" x14ac:dyDescent="0.25">
      <c r="A4" s="134" t="s">
        <v>123</v>
      </c>
      <c r="B4" s="18"/>
      <c r="C4" s="330" t="s">
        <v>102</v>
      </c>
      <c r="D4" s="330"/>
    </row>
    <row r="5" spans="1:4" s="44" customFormat="1" ht="30" customHeight="1" x14ac:dyDescent="0.25">
      <c r="A5" s="134"/>
      <c r="B5" s="18"/>
      <c r="C5" s="319" t="s">
        <v>219</v>
      </c>
      <c r="D5" s="319"/>
    </row>
    <row r="6" spans="1:4" s="44" customFormat="1" ht="15" x14ac:dyDescent="0.25">
      <c r="A6" s="135" t="s">
        <v>188</v>
      </c>
      <c r="B6" s="18"/>
      <c r="C6" s="330" t="s">
        <v>374</v>
      </c>
      <c r="D6" s="330"/>
    </row>
    <row r="7" spans="1:4" s="44" customFormat="1" ht="18" customHeight="1" x14ac:dyDescent="0.25">
      <c r="A7" s="135" t="s">
        <v>286</v>
      </c>
      <c r="B7" s="18"/>
      <c r="C7" s="331" t="s">
        <v>373</v>
      </c>
      <c r="D7" s="331"/>
    </row>
    <row r="8" spans="1:4" s="44" customFormat="1" ht="15" x14ac:dyDescent="0.25">
      <c r="B8" s="18"/>
      <c r="C8" s="149"/>
      <c r="D8" s="247"/>
    </row>
    <row r="9" spans="1:4" ht="15" x14ac:dyDescent="0.25">
      <c r="A9" s="18"/>
      <c r="B9" s="18"/>
      <c r="C9" s="111"/>
      <c r="D9" s="18"/>
    </row>
    <row r="10" spans="1:4" ht="41.25" customHeight="1" x14ac:dyDescent="0.2">
      <c r="A10" s="329" t="s">
        <v>378</v>
      </c>
      <c r="B10" s="329"/>
      <c r="C10" s="329"/>
      <c r="D10" s="329"/>
    </row>
    <row r="11" spans="1:4" ht="15.75" thickBot="1" x14ac:dyDescent="0.3">
      <c r="A11" s="18"/>
      <c r="B11" s="18"/>
      <c r="C11" s="111"/>
      <c r="D11" s="18"/>
    </row>
    <row r="12" spans="1:4" s="114" customFormat="1" ht="20.25" customHeight="1" x14ac:dyDescent="0.2">
      <c r="A12" s="240" t="s">
        <v>0</v>
      </c>
      <c r="B12" s="241" t="s">
        <v>90</v>
      </c>
      <c r="C12" s="241" t="s">
        <v>91</v>
      </c>
      <c r="D12" s="242" t="s">
        <v>92</v>
      </c>
    </row>
    <row r="13" spans="1:4" ht="13.5" thickBot="1" x14ac:dyDescent="0.25">
      <c r="A13" s="15">
        <v>1</v>
      </c>
      <c r="B13" s="16">
        <v>2</v>
      </c>
      <c r="C13" s="16">
        <v>3</v>
      </c>
      <c r="D13" s="17">
        <v>4</v>
      </c>
    </row>
    <row r="14" spans="1:4" s="114" customFormat="1" ht="18" customHeight="1" x14ac:dyDescent="0.2">
      <c r="A14" s="108"/>
      <c r="B14" s="106" t="s">
        <v>93</v>
      </c>
      <c r="C14" s="112"/>
      <c r="D14" s="113">
        <f>'Расчет численности'!G22</f>
        <v>2098819.0012978553</v>
      </c>
    </row>
    <row r="15" spans="1:4" s="114" customFormat="1" ht="18" customHeight="1" x14ac:dyDescent="0.2">
      <c r="A15" s="246"/>
      <c r="B15" s="116" t="s">
        <v>94</v>
      </c>
      <c r="C15" s="117">
        <v>0.25</v>
      </c>
      <c r="D15" s="118">
        <f>ROUND(D14*C15,0)</f>
        <v>524705</v>
      </c>
    </row>
    <row r="16" spans="1:4" s="114" customFormat="1" ht="18" customHeight="1" x14ac:dyDescent="0.2">
      <c r="A16" s="246"/>
      <c r="B16" s="116" t="s">
        <v>95</v>
      </c>
      <c r="C16" s="117"/>
      <c r="D16" s="118">
        <f>SUM(D14:D15)</f>
        <v>2623524.0012978553</v>
      </c>
    </row>
    <row r="17" spans="1:10" s="114" customFormat="1" ht="18" customHeight="1" x14ac:dyDescent="0.2">
      <c r="A17" s="246"/>
      <c r="B17" s="119" t="s">
        <v>96</v>
      </c>
      <c r="C17" s="117">
        <v>0.6</v>
      </c>
      <c r="D17" s="118">
        <f>ROUND(D16*C17,0)</f>
        <v>1574114</v>
      </c>
    </row>
    <row r="18" spans="1:10" s="114" customFormat="1" ht="18" customHeight="1" x14ac:dyDescent="0.2">
      <c r="A18" s="246">
        <v>1</v>
      </c>
      <c r="B18" s="116" t="s">
        <v>97</v>
      </c>
      <c r="C18" s="117"/>
      <c r="D18" s="118">
        <f>SUM(D16:D17)</f>
        <v>4197638.0012978557</v>
      </c>
    </row>
    <row r="19" spans="1:10" s="114" customFormat="1" ht="18" customHeight="1" x14ac:dyDescent="0.2">
      <c r="A19" s="108">
        <v>2</v>
      </c>
      <c r="B19" s="106" t="s">
        <v>115</v>
      </c>
      <c r="C19" s="174">
        <v>0.30199999999999999</v>
      </c>
      <c r="D19" s="113">
        <f>ROUND(D18*C19,0)</f>
        <v>1267687</v>
      </c>
    </row>
    <row r="20" spans="1:10" s="114" customFormat="1" ht="18" customHeight="1" x14ac:dyDescent="0.2">
      <c r="A20" s="108">
        <v>3</v>
      </c>
      <c r="B20" s="120" t="s">
        <v>98</v>
      </c>
      <c r="C20" s="121">
        <v>0.1202</v>
      </c>
      <c r="D20" s="113">
        <f>ROUND(D18*C20,0)</f>
        <v>504556</v>
      </c>
    </row>
    <row r="21" spans="1:10" s="114" customFormat="1" ht="18" customHeight="1" x14ac:dyDescent="0.2">
      <c r="A21" s="246">
        <v>4</v>
      </c>
      <c r="B21" s="106" t="s">
        <v>99</v>
      </c>
      <c r="C21" s="112"/>
      <c r="D21" s="113">
        <f>SUM(D18:D20)</f>
        <v>5969881.0012978557</v>
      </c>
    </row>
    <row r="22" spans="1:10" s="114" customFormat="1" ht="18" customHeight="1" x14ac:dyDescent="0.2">
      <c r="A22" s="108">
        <v>5</v>
      </c>
      <c r="B22" s="119" t="s">
        <v>100</v>
      </c>
      <c r="C22" s="117">
        <v>2.9899999999999999E-2</v>
      </c>
      <c r="D22" s="118">
        <f>ROUND(D21*C22,0)</f>
        <v>178499</v>
      </c>
    </row>
    <row r="23" spans="1:10" s="114" customFormat="1" ht="18" customHeight="1" x14ac:dyDescent="0.2">
      <c r="A23" s="108">
        <v>6</v>
      </c>
      <c r="B23" s="106" t="s">
        <v>101</v>
      </c>
      <c r="C23" s="121">
        <v>4.99E-2</v>
      </c>
      <c r="D23" s="113">
        <f>ROUND(C23*D18,0)</f>
        <v>209462</v>
      </c>
      <c r="F23" s="114" t="s">
        <v>359</v>
      </c>
    </row>
    <row r="24" spans="1:10" s="114" customFormat="1" ht="18" customHeight="1" x14ac:dyDescent="0.2">
      <c r="A24" s="246">
        <v>7</v>
      </c>
      <c r="B24" s="106" t="s">
        <v>290</v>
      </c>
      <c r="C24" s="112"/>
      <c r="D24" s="268">
        <f>SUM(D21:D23)</f>
        <v>6357842.0012978557</v>
      </c>
      <c r="F24" s="269">
        <v>2151600</v>
      </c>
      <c r="H24" s="270">
        <f>F24-D24</f>
        <v>-4206242.0012978557</v>
      </c>
    </row>
    <row r="25" spans="1:10" s="114" customFormat="1" ht="0.75" customHeight="1" thickBot="1" x14ac:dyDescent="0.25">
      <c r="A25" s="246">
        <v>8</v>
      </c>
      <c r="B25" s="171" t="s">
        <v>288</v>
      </c>
      <c r="C25" s="224">
        <v>1</v>
      </c>
      <c r="D25" s="170">
        <f>D24*C25</f>
        <v>6357842.0012978557</v>
      </c>
    </row>
    <row r="26" spans="1:10" s="114" customFormat="1" ht="21.75" customHeight="1" thickBot="1" x14ac:dyDescent="0.25">
      <c r="A26" s="122"/>
      <c r="B26" s="173" t="s">
        <v>289</v>
      </c>
      <c r="C26" s="123"/>
      <c r="D26" s="107">
        <f>D25</f>
        <v>6357842.0012978557</v>
      </c>
      <c r="H26" s="243">
        <v>12</v>
      </c>
      <c r="I26" s="244">
        <f>D24/36</f>
        <v>176606.72225827377</v>
      </c>
    </row>
    <row r="27" spans="1:10" s="114" customFormat="1" ht="20.25" customHeight="1" x14ac:dyDescent="0.2">
      <c r="A27" s="115"/>
      <c r="B27" s="120" t="s">
        <v>304</v>
      </c>
      <c r="C27" s="222"/>
      <c r="D27" s="223">
        <f>D26/36</f>
        <v>176606.72225827377</v>
      </c>
      <c r="H27" s="243">
        <v>36</v>
      </c>
      <c r="I27" s="244">
        <f>I26*H27</f>
        <v>6357842.0012978557</v>
      </c>
      <c r="J27" s="114" t="s">
        <v>365</v>
      </c>
    </row>
    <row r="28" spans="1:10" s="114" customFormat="1" ht="20.25" customHeight="1" x14ac:dyDescent="0.2">
      <c r="A28" s="176"/>
      <c r="B28" s="179"/>
      <c r="C28" s="177"/>
      <c r="D28" s="178"/>
      <c r="H28" s="5"/>
      <c r="I28" s="245">
        <f>SUM(I27:I27)</f>
        <v>6357842.0012978557</v>
      </c>
      <c r="J28" s="1"/>
    </row>
    <row r="29" spans="1:10" ht="15" x14ac:dyDescent="0.25">
      <c r="A29" s="147" t="s">
        <v>181</v>
      </c>
      <c r="B29" s="147"/>
      <c r="C29" s="147" t="s">
        <v>291</v>
      </c>
      <c r="D29" s="189"/>
    </row>
    <row r="30" spans="1:10" x14ac:dyDescent="0.2">
      <c r="A30" s="148"/>
      <c r="B30" s="148"/>
      <c r="C30" s="148"/>
      <c r="D30" s="189"/>
    </row>
    <row r="31" spans="1:10" ht="15" x14ac:dyDescent="0.25">
      <c r="A31" s="147" t="s">
        <v>212</v>
      </c>
      <c r="B31" s="148"/>
      <c r="C31" s="147" t="s">
        <v>187</v>
      </c>
      <c r="D31" s="190"/>
    </row>
    <row r="32" spans="1:10" x14ac:dyDescent="0.2">
      <c r="A32" s="148"/>
      <c r="B32" s="148"/>
      <c r="C32" s="148"/>
      <c r="D32" s="148"/>
    </row>
    <row r="33" spans="1:7" ht="15" x14ac:dyDescent="0.25">
      <c r="A33" s="147" t="s">
        <v>117</v>
      </c>
      <c r="B33" s="148"/>
      <c r="C33" s="147" t="s">
        <v>191</v>
      </c>
      <c r="D33"/>
    </row>
    <row r="34" spans="1:7" ht="15" x14ac:dyDescent="0.25">
      <c r="A34" s="147"/>
      <c r="B34" s="148"/>
      <c r="C34" s="148"/>
      <c r="D34"/>
    </row>
    <row r="35" spans="1:7" ht="15" x14ac:dyDescent="0.25">
      <c r="A35" s="147" t="s">
        <v>117</v>
      </c>
      <c r="B35"/>
      <c r="C35" s="147" t="s">
        <v>370</v>
      </c>
      <c r="D35"/>
      <c r="E35"/>
      <c r="F35"/>
      <c r="G35" s="147" t="s">
        <v>370</v>
      </c>
    </row>
    <row r="36" spans="1:7" ht="15" x14ac:dyDescent="0.25">
      <c r="A36" s="147" t="s">
        <v>369</v>
      </c>
      <c r="B36"/>
      <c r="C36"/>
      <c r="D36"/>
      <c r="E36"/>
      <c r="F36"/>
      <c r="G36"/>
    </row>
  </sheetData>
  <mergeCells count="6">
    <mergeCell ref="A1:D1"/>
    <mergeCell ref="A10:D10"/>
    <mergeCell ref="C4:D4"/>
    <mergeCell ref="C5:D5"/>
    <mergeCell ref="C7:D7"/>
    <mergeCell ref="C6:D6"/>
  </mergeCells>
  <phoneticPr fontId="22" type="noConversion"/>
  <pageMargins left="0.70866141732283472" right="0.18" top="0.35" bottom="0.74803149606299213" header="0.32" footer="0.31496062992125984"/>
  <pageSetup paperSize="9" scale="96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9"/>
  <sheetViews>
    <sheetView view="pageBreakPreview" zoomScale="112" zoomScaleNormal="100" zoomScaleSheetLayoutView="112" workbookViewId="0">
      <selection activeCell="F14" sqref="F14"/>
    </sheetView>
  </sheetViews>
  <sheetFormatPr defaultRowHeight="12.75" x14ac:dyDescent="0.2"/>
  <cols>
    <col min="1" max="1" width="4.28515625" customWidth="1"/>
    <col min="2" max="2" width="7.28515625" customWidth="1"/>
    <col min="3" max="3" width="30" customWidth="1"/>
    <col min="4" max="4" width="14.85546875" customWidth="1"/>
    <col min="5" max="5" width="13" customWidth="1"/>
    <col min="6" max="6" width="13.140625" customWidth="1"/>
    <col min="7" max="7" width="12.7109375" customWidth="1"/>
  </cols>
  <sheetData>
    <row r="1" spans="1:9" ht="24.75" customHeight="1" x14ac:dyDescent="0.2">
      <c r="A1" s="328" t="s">
        <v>295</v>
      </c>
      <c r="B1" s="328"/>
      <c r="C1" s="328"/>
      <c r="D1" s="328"/>
      <c r="E1" s="328"/>
      <c r="F1" s="328"/>
      <c r="G1" s="328"/>
    </row>
    <row r="2" spans="1:9" ht="15" x14ac:dyDescent="0.25">
      <c r="A2" s="134" t="s">
        <v>123</v>
      </c>
      <c r="B2" s="124"/>
      <c r="C2" s="124"/>
      <c r="D2" s="124"/>
      <c r="E2" s="330" t="s">
        <v>102</v>
      </c>
      <c r="F2" s="330"/>
      <c r="G2" s="154"/>
    </row>
    <row r="3" spans="1:9" ht="27.75" customHeight="1" x14ac:dyDescent="0.25">
      <c r="A3" s="134"/>
      <c r="B3" s="124"/>
      <c r="C3" s="124"/>
      <c r="D3" s="124"/>
      <c r="E3" s="319" t="s">
        <v>219</v>
      </c>
      <c r="F3" s="319"/>
      <c r="G3" s="319"/>
    </row>
    <row r="4" spans="1:9" ht="18" customHeight="1" x14ac:dyDescent="0.25">
      <c r="A4" s="135" t="s">
        <v>190</v>
      </c>
      <c r="B4" s="124"/>
      <c r="C4" s="124"/>
      <c r="D4" s="124"/>
      <c r="E4" s="330" t="s">
        <v>374</v>
      </c>
      <c r="F4" s="330"/>
      <c r="G4" s="330"/>
    </row>
    <row r="5" spans="1:9" ht="15" x14ac:dyDescent="0.25">
      <c r="A5" s="135" t="s">
        <v>286</v>
      </c>
      <c r="B5" s="124"/>
      <c r="C5" s="124"/>
      <c r="D5" s="124"/>
      <c r="E5" s="331" t="s">
        <v>373</v>
      </c>
      <c r="F5" s="331"/>
      <c r="G5" s="331"/>
    </row>
    <row r="6" spans="1:9" ht="14.25" x14ac:dyDescent="0.2">
      <c r="A6" s="124"/>
      <c r="B6" s="124"/>
      <c r="C6" s="124"/>
      <c r="D6" s="124"/>
      <c r="E6" s="124"/>
      <c r="F6" s="124"/>
      <c r="G6" s="124"/>
    </row>
    <row r="8" spans="1:9" ht="14.25" customHeight="1" x14ac:dyDescent="0.2">
      <c r="A8" s="333" t="s">
        <v>296</v>
      </c>
      <c r="B8" s="333"/>
      <c r="C8" s="333"/>
      <c r="D8" s="333"/>
      <c r="E8" s="333"/>
      <c r="F8" s="333"/>
      <c r="G8" s="333"/>
      <c r="H8" s="40"/>
      <c r="I8" s="40"/>
    </row>
    <row r="9" spans="1:9" s="48" customFormat="1" ht="24.75" customHeight="1" x14ac:dyDescent="0.2">
      <c r="A9" s="335" t="s">
        <v>183</v>
      </c>
      <c r="B9" s="336"/>
      <c r="C9" s="336"/>
      <c r="D9" s="336"/>
      <c r="E9" s="336"/>
      <c r="F9" s="336"/>
      <c r="G9" s="336"/>
    </row>
    <row r="10" spans="1:9" ht="19.5" customHeight="1" x14ac:dyDescent="0.2">
      <c r="A10" s="332" t="s">
        <v>118</v>
      </c>
      <c r="B10" s="333"/>
      <c r="C10" s="333"/>
      <c r="D10" s="333"/>
      <c r="E10" s="333"/>
      <c r="F10" s="333"/>
      <c r="G10" s="333"/>
    </row>
    <row r="11" spans="1:9" ht="16.5" customHeight="1" x14ac:dyDescent="0.2">
      <c r="A11" s="334" t="s">
        <v>182</v>
      </c>
      <c r="B11" s="334"/>
      <c r="C11" s="334"/>
      <c r="D11" s="334"/>
      <c r="E11" s="334"/>
      <c r="F11" s="334"/>
      <c r="G11" s="334"/>
    </row>
    <row r="12" spans="1:9" ht="13.5" customHeight="1" x14ac:dyDescent="0.25">
      <c r="A12" s="4"/>
      <c r="B12" s="4"/>
      <c r="C12" s="4"/>
      <c r="D12" s="60"/>
      <c r="E12" s="60"/>
      <c r="F12" s="60"/>
      <c r="G12" s="4"/>
    </row>
    <row r="13" spans="1:9" ht="54.75" customHeight="1" x14ac:dyDescent="0.2">
      <c r="A13" s="125" t="s">
        <v>0</v>
      </c>
      <c r="B13" s="125" t="s">
        <v>297</v>
      </c>
      <c r="C13" s="125" t="s">
        <v>109</v>
      </c>
      <c r="D13" s="125" t="s">
        <v>110</v>
      </c>
      <c r="E13" s="125" t="s">
        <v>111</v>
      </c>
      <c r="F13" s="125" t="s">
        <v>112</v>
      </c>
      <c r="G13" s="125" t="s">
        <v>113</v>
      </c>
    </row>
    <row r="14" spans="1:9" s="105" customFormat="1" ht="12" x14ac:dyDescent="0.2">
      <c r="A14" s="104">
        <v>1</v>
      </c>
      <c r="B14" s="104">
        <v>2</v>
      </c>
      <c r="C14" s="104">
        <v>3</v>
      </c>
      <c r="D14" s="104">
        <v>4</v>
      </c>
      <c r="E14" s="104">
        <v>5</v>
      </c>
      <c r="F14" s="104">
        <v>6</v>
      </c>
      <c r="G14" s="104">
        <v>7</v>
      </c>
    </row>
    <row r="15" spans="1:9" ht="58.5" customHeight="1" thickBot="1" x14ac:dyDescent="0.25">
      <c r="A15" s="133">
        <v>1</v>
      </c>
      <c r="B15" s="133">
        <v>1</v>
      </c>
      <c r="C15" s="126" t="str">
        <f>A10</f>
        <v xml:space="preserve">Уборка производственных и служебно-бытовых помещений  Иркутской ГЭС </v>
      </c>
      <c r="D15" s="127">
        <f>'Прил №3.Расчет стоимости работ '!D26</f>
        <v>6357842.0012978557</v>
      </c>
      <c r="E15" s="127">
        <f>'Прил №3.Расчет стоимости работ '!D23*'Прил №3.Расчет стоимости работ '!C25</f>
        <v>209462</v>
      </c>
      <c r="F15" s="127">
        <f>D15*20/100</f>
        <v>1271568.4002595711</v>
      </c>
      <c r="G15" s="127">
        <f>D15+F15</f>
        <v>7629410.4015574269</v>
      </c>
    </row>
    <row r="16" spans="1:9" ht="15.75" thickBot="1" x14ac:dyDescent="0.3">
      <c r="A16" s="128"/>
      <c r="B16" s="129"/>
      <c r="C16" s="130" t="s">
        <v>114</v>
      </c>
      <c r="D16" s="131">
        <f>SUM(D15:D15)</f>
        <v>6357842.0012978557</v>
      </c>
      <c r="E16" s="131">
        <f>SUM(E15:E15)</f>
        <v>209462</v>
      </c>
      <c r="F16" s="131">
        <f>SUM(F15:F15)</f>
        <v>1271568.4002595711</v>
      </c>
      <c r="G16" s="132">
        <f>SUM(G15:G15)</f>
        <v>7629410.4015574269</v>
      </c>
    </row>
    <row r="17" spans="1:11" ht="15.75" x14ac:dyDescent="0.25">
      <c r="A17" s="61"/>
      <c r="B17" s="62"/>
      <c r="C17" s="156" t="s">
        <v>195</v>
      </c>
      <c r="D17" s="157">
        <f>D15/36</f>
        <v>176606.72225827377</v>
      </c>
      <c r="E17" s="157">
        <f>E15/36</f>
        <v>5818.3888888888887</v>
      </c>
      <c r="F17" s="157">
        <f>F15/36</f>
        <v>35321.344451654753</v>
      </c>
      <c r="G17" s="157">
        <f>G15/36</f>
        <v>211928.06670992853</v>
      </c>
    </row>
    <row r="18" spans="1:11" ht="15.75" x14ac:dyDescent="0.25">
      <c r="A18" s="61"/>
      <c r="B18" s="62"/>
      <c r="C18" s="63"/>
      <c r="D18" s="64"/>
      <c r="E18" s="64"/>
      <c r="F18" s="64"/>
      <c r="G18" s="64"/>
    </row>
    <row r="19" spans="1:11" ht="15.75" x14ac:dyDescent="0.25">
      <c r="A19" s="180"/>
      <c r="B19" s="181"/>
      <c r="C19" s="181"/>
      <c r="D19" s="182"/>
      <c r="E19" s="182"/>
      <c r="F19" s="182"/>
      <c r="G19" s="182"/>
      <c r="H19" s="1"/>
      <c r="I19" s="1"/>
      <c r="J19" s="1"/>
      <c r="K19" s="1"/>
    </row>
    <row r="20" spans="1:11" ht="15" x14ac:dyDescent="0.25">
      <c r="B20" s="147" t="s">
        <v>181</v>
      </c>
      <c r="C20" s="148"/>
      <c r="D20" s="183"/>
      <c r="F20" s="147" t="s">
        <v>291</v>
      </c>
      <c r="G20" s="184"/>
      <c r="H20" s="1"/>
      <c r="I20" s="1"/>
      <c r="J20" s="1"/>
      <c r="K20" s="1"/>
    </row>
    <row r="21" spans="1:11" ht="15" x14ac:dyDescent="0.25">
      <c r="B21" s="148"/>
      <c r="C21" s="148"/>
      <c r="D21" s="185"/>
      <c r="F21" s="148"/>
      <c r="G21" s="49"/>
      <c r="H21" s="1"/>
      <c r="I21" s="1"/>
      <c r="J21" s="1"/>
      <c r="K21" s="1"/>
    </row>
    <row r="22" spans="1:11" ht="15" x14ac:dyDescent="0.25">
      <c r="B22" s="147" t="s">
        <v>212</v>
      </c>
      <c r="C22" s="148"/>
      <c r="D22" s="185"/>
      <c r="F22" s="147" t="s">
        <v>187</v>
      </c>
      <c r="G22" s="49"/>
      <c r="H22" s="1"/>
      <c r="I22" s="1"/>
      <c r="J22" s="1"/>
      <c r="K22" s="1"/>
    </row>
    <row r="23" spans="1:11" ht="15" x14ac:dyDescent="0.25">
      <c r="B23" s="148"/>
      <c r="C23" s="148"/>
      <c r="D23" s="185"/>
      <c r="F23" s="148"/>
      <c r="G23" s="49"/>
      <c r="H23" s="1"/>
      <c r="I23" s="1"/>
      <c r="J23" s="1"/>
      <c r="K23" s="1"/>
    </row>
    <row r="24" spans="1:11" ht="15" x14ac:dyDescent="0.25">
      <c r="B24" s="147" t="s">
        <v>117</v>
      </c>
      <c r="C24" s="148"/>
      <c r="D24" s="185"/>
      <c r="F24" s="147" t="s">
        <v>191</v>
      </c>
      <c r="G24" s="49"/>
      <c r="H24" s="1"/>
      <c r="I24" s="1"/>
      <c r="J24" s="1"/>
      <c r="K24" s="1"/>
    </row>
    <row r="25" spans="1:11" ht="15" x14ac:dyDescent="0.25">
      <c r="A25" s="49"/>
      <c r="B25" s="49"/>
      <c r="C25" s="49"/>
      <c r="D25" s="49"/>
      <c r="E25" s="49"/>
      <c r="F25" s="49"/>
      <c r="G25" s="49"/>
      <c r="H25" s="1"/>
      <c r="I25" s="1"/>
      <c r="J25" s="1"/>
      <c r="K25" s="1"/>
    </row>
    <row r="26" spans="1:11" ht="15" x14ac:dyDescent="0.25">
      <c r="A26" s="147"/>
      <c r="B26" s="147" t="s">
        <v>117</v>
      </c>
      <c r="D26" s="147"/>
      <c r="E26" s="186"/>
      <c r="F26" s="147" t="s">
        <v>370</v>
      </c>
      <c r="G26" s="186"/>
    </row>
    <row r="27" spans="1:11" ht="15" x14ac:dyDescent="0.25">
      <c r="A27" s="147"/>
      <c r="B27" s="147" t="s">
        <v>369</v>
      </c>
      <c r="E27" s="186"/>
      <c r="F27" s="186"/>
      <c r="G27" s="186"/>
    </row>
    <row r="28" spans="1:11" x14ac:dyDescent="0.2">
      <c r="A28" s="148"/>
      <c r="B28" s="148"/>
      <c r="C28" s="148"/>
      <c r="D28" s="148"/>
      <c r="E28" s="148"/>
      <c r="F28" s="148"/>
      <c r="G28" s="148"/>
    </row>
    <row r="29" spans="1:11" x14ac:dyDescent="0.2">
      <c r="A29" s="148"/>
      <c r="B29" s="148"/>
      <c r="C29" s="148"/>
      <c r="D29" s="148"/>
      <c r="E29" s="148"/>
      <c r="F29" s="148"/>
      <c r="G29" s="148"/>
    </row>
  </sheetData>
  <mergeCells count="9">
    <mergeCell ref="A10:G10"/>
    <mergeCell ref="A8:G8"/>
    <mergeCell ref="A11:G11"/>
    <mergeCell ref="A1:G1"/>
    <mergeCell ref="E2:F2"/>
    <mergeCell ref="E4:G4"/>
    <mergeCell ref="E3:G3"/>
    <mergeCell ref="A9:G9"/>
    <mergeCell ref="E5:G5"/>
  </mergeCells>
  <phoneticPr fontId="22" type="noConversion"/>
  <pageMargins left="0.57999999999999996" right="0.31" top="0.34" bottom="0.75" header="0.3" footer="0.3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4"/>
  <sheetViews>
    <sheetView workbookViewId="0">
      <selection activeCell="B14" sqref="B14"/>
    </sheetView>
  </sheetViews>
  <sheetFormatPr defaultRowHeight="12.75" x14ac:dyDescent="0.2"/>
  <sheetData>
    <row r="14" spans="2:2" x14ac:dyDescent="0.2">
      <c r="B14" s="109"/>
    </row>
  </sheetData>
  <phoneticPr fontId="2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Приложение №1. ВОР произв.</vt:lpstr>
      <vt:lpstr>Приложение №2. ВОР бытов.</vt:lpstr>
      <vt:lpstr>Расчет численности</vt:lpstr>
      <vt:lpstr>Прил №3.Расчет стоимости работ </vt:lpstr>
      <vt:lpstr>Приложение№4. РДЦ</vt:lpstr>
      <vt:lpstr>Лист1</vt:lpstr>
      <vt:lpstr>'Прил №3.Расчет стоимости работ '!Область_печати</vt:lpstr>
      <vt:lpstr>'Приложение №1. ВОР произв.'!Область_печати</vt:lpstr>
      <vt:lpstr>'Приложение №2. ВОР бытов.'!Область_печати</vt:lpstr>
      <vt:lpstr>'Приложение№4. РДЦ'!Область_печати</vt:lpstr>
      <vt:lpstr>'Расчет численности'!Область_печати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admins</cp:lastModifiedBy>
  <cp:lastPrinted>2021-04-02T05:26:44Z</cp:lastPrinted>
  <dcterms:created xsi:type="dcterms:W3CDTF">1996-10-08T23:32:33Z</dcterms:created>
  <dcterms:modified xsi:type="dcterms:W3CDTF">2022-08-23T07:33:13Z</dcterms:modified>
</cp:coreProperties>
</file>